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16" activeTab="0"/>
  </bookViews>
  <sheets>
    <sheet name="فهرست " sheetId="1" r:id="rId1"/>
    <sheet name="اصول حسابداری 2،1و3" sheetId="2" r:id="rId2"/>
    <sheet name="حسابداری صنعتی 2،1و3" sheetId="3" r:id="rId3"/>
    <sheet name="حسابداری میانه 1 و 2" sheetId="4" r:id="rId4"/>
    <sheet name="حسابداری پیشرفته 1و2" sheetId="5" r:id="rId5"/>
    <sheet name="مباحث جاری" sheetId="6" r:id="rId6"/>
  </sheets>
  <definedNames>
    <definedName name="Content">#REF!</definedName>
  </definedNames>
  <calcPr fullCalcOnLoad="1"/>
</workbook>
</file>

<file path=xl/comments3.xml><?xml version="1.0" encoding="utf-8"?>
<comments xmlns="http://schemas.openxmlformats.org/spreadsheetml/2006/main">
  <authors>
    <author>Masoud Mirsamii</author>
  </authors>
  <commentList>
    <comment ref="BG9" authorId="0">
      <text>
        <r>
          <rPr>
            <sz val="8"/>
            <rFont val="Tahoma"/>
            <family val="0"/>
          </rPr>
          <t xml:space="preserve">(3000000/60%)*0/5
</t>
        </r>
      </text>
    </comment>
  </commentList>
</comments>
</file>

<file path=xl/comments5.xml><?xml version="1.0" encoding="utf-8"?>
<comments xmlns="http://schemas.openxmlformats.org/spreadsheetml/2006/main">
  <authors>
    <author>s10</author>
    <author>Masoud Mirsamii</author>
  </authors>
  <commentList>
    <comment ref="K58" authorId="0">
      <text>
        <r>
          <rPr>
            <b/>
            <sz val="8"/>
            <rFont val="Tahoma"/>
            <family val="0"/>
          </rPr>
          <t>s10:</t>
        </r>
        <r>
          <rPr>
            <sz val="8"/>
            <rFont val="Tahoma"/>
            <family val="0"/>
          </rPr>
          <t xml:space="preserve">
8.4/ 1.2 =7 
8.4 -7 = 1.4 سود منظور شده در موجودی کالای 1/1
</t>
        </r>
      </text>
    </comment>
    <comment ref="F81" authorId="0">
      <text>
        <r>
          <rPr>
            <b/>
            <sz val="8"/>
            <rFont val="Tahoma"/>
            <family val="0"/>
          </rPr>
          <t>s10:</t>
        </r>
        <r>
          <rPr>
            <sz val="8"/>
            <rFont val="Tahoma"/>
            <family val="0"/>
          </rPr>
          <t xml:space="preserve">
7.2 /1.2 =6
7.2 -6 = 1.2 سود منظور شده در موجودی کالای 12/29
</t>
        </r>
      </text>
    </comment>
    <comment ref="AT9" authorId="1">
      <text>
        <r>
          <rPr>
            <sz val="8"/>
            <rFont val="Tahoma"/>
            <family val="0"/>
          </rPr>
          <t xml:space="preserve">183500 / 80% = 192000
</t>
        </r>
      </text>
    </comment>
    <comment ref="AT20" authorId="1">
      <text>
        <r>
          <rPr>
            <b/>
            <sz val="8"/>
            <rFont val="Tahoma"/>
            <family val="0"/>
          </rPr>
          <t>سهام عادی 000 40 
صرف سهام  000 12 
سود انباشته 000 9 
                   ---------
 جمع             000 61</t>
        </r>
      </text>
    </comment>
    <comment ref="BE40" authorId="1">
      <text>
        <r>
          <rPr>
            <b/>
            <sz val="8"/>
            <rFont val="Tahoma"/>
            <family val="0"/>
          </rPr>
          <t>ثبت وجوه بین راهی</t>
        </r>
      </text>
    </comment>
    <comment ref="BF41" authorId="1">
      <text>
        <r>
          <rPr>
            <b/>
            <sz val="8"/>
            <rFont val="Tahoma"/>
            <family val="0"/>
          </rPr>
          <t>حذ ف معاملات فیمابین گروه</t>
        </r>
        <r>
          <rPr>
            <sz val="8"/>
            <rFont val="Tahoma"/>
            <family val="0"/>
          </rPr>
          <t xml:space="preserve">
</t>
        </r>
      </text>
    </comment>
    <comment ref="BF43" authorId="1">
      <text>
        <r>
          <rPr>
            <b/>
            <sz val="8"/>
            <rFont val="Tahoma"/>
            <family val="0"/>
          </rPr>
          <t>حذ ف معاملات فیمابین گروه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<sst xmlns="http://schemas.openxmlformats.org/spreadsheetml/2006/main" count="1212" uniqueCount="735">
  <si>
    <t>نام حساب</t>
  </si>
  <si>
    <t>بدهكار</t>
  </si>
  <si>
    <t>بستانكار</t>
  </si>
  <si>
    <t>صندوق</t>
  </si>
  <si>
    <t>بانك</t>
  </si>
  <si>
    <t>موجودي ملزومات</t>
  </si>
  <si>
    <t>پيش پرداخت اجاره</t>
  </si>
  <si>
    <t>اثاثه</t>
  </si>
  <si>
    <t>وام بانكي بلند مدت</t>
  </si>
  <si>
    <t>تخفيفات نقدي فروش</t>
  </si>
  <si>
    <t>خريد</t>
  </si>
  <si>
    <t>تخفيفات نقدي خريد</t>
  </si>
  <si>
    <t>هزينه حمل كالاي خريداري شده</t>
  </si>
  <si>
    <t>هزينه حقوق</t>
  </si>
  <si>
    <t>هزينه اجاره</t>
  </si>
  <si>
    <t>هزينه استهلاك اثاثه</t>
  </si>
  <si>
    <t>استهلاك انباشته اثاثه</t>
  </si>
  <si>
    <t>موجودي كالاي پايان دوره</t>
  </si>
  <si>
    <t>شركت اميدي</t>
  </si>
  <si>
    <t>صورتحساب سودوزيان</t>
  </si>
  <si>
    <t>صورتحساب سرمايه</t>
  </si>
  <si>
    <t>ترازنامه</t>
  </si>
  <si>
    <t xml:space="preserve">حسابهاي دريافتني </t>
  </si>
  <si>
    <t>براي سال مالي منتهي به 1380/12/29</t>
  </si>
  <si>
    <t>موجودي كالاي اول دوره</t>
  </si>
  <si>
    <t xml:space="preserve">سرمايه اول دوره </t>
  </si>
  <si>
    <t>داراييها</t>
  </si>
  <si>
    <t>بدهي جاري</t>
  </si>
  <si>
    <t>اضافه ميشود</t>
  </si>
  <si>
    <t>جمع بدهي جاري</t>
  </si>
  <si>
    <t>فروش خالص</t>
  </si>
  <si>
    <t>كسرميشود برداشت</t>
  </si>
  <si>
    <t>بدهي بلند مدت</t>
  </si>
  <si>
    <t xml:space="preserve">حسابهاي پرداختني </t>
  </si>
  <si>
    <t>بهاي تمام شده كالاي فروش رفته:</t>
  </si>
  <si>
    <t>سرمايه اقاي اميدي درپايان دوره</t>
  </si>
  <si>
    <t>موجودي كالا</t>
  </si>
  <si>
    <t>جمع بدهي بلند مدت</t>
  </si>
  <si>
    <t>سرمايه اقاي اميدي</t>
  </si>
  <si>
    <t>برداشت اقاي اميدي</t>
  </si>
  <si>
    <t>فروش</t>
  </si>
  <si>
    <t>كسر ميشود</t>
  </si>
  <si>
    <t>برگشت از فروش</t>
  </si>
  <si>
    <t>خريدخالص</t>
  </si>
  <si>
    <t>اثاثه خالص</t>
  </si>
  <si>
    <t>بهاي تمام شده كالاي خريداري شده</t>
  </si>
  <si>
    <t>جمع داراييها</t>
  </si>
  <si>
    <t>جمع بدهيهاوسرمايه</t>
  </si>
  <si>
    <t>برگشت از خريد</t>
  </si>
  <si>
    <t xml:space="preserve">بهاي تمام شده كالاي اماده براي فروش </t>
  </si>
  <si>
    <t>بهاي تمام شده كالاي فروش رفته</t>
  </si>
  <si>
    <t>هزينه اب وبرق</t>
  </si>
  <si>
    <t>كسر ميشود هزينه هاي عملياتي</t>
  </si>
  <si>
    <t>هزينه ملزومات</t>
  </si>
  <si>
    <t>جمع هزينه هاي عملياتي</t>
  </si>
  <si>
    <t>مدت استفاده به ماه</t>
  </si>
  <si>
    <t xml:space="preserve">سال </t>
  </si>
  <si>
    <t>مقدار تولید</t>
  </si>
  <si>
    <t>ساعت کارکرد</t>
  </si>
  <si>
    <t>جمع</t>
  </si>
  <si>
    <t xml:space="preserve">بهای تمام شده </t>
  </si>
  <si>
    <t>ارزش اسقاط</t>
  </si>
  <si>
    <t>تارخ خرید</t>
  </si>
  <si>
    <t>1371/7/1</t>
  </si>
  <si>
    <t>عمر مفید</t>
  </si>
  <si>
    <t xml:space="preserve">ردیف </t>
  </si>
  <si>
    <t>سال</t>
  </si>
  <si>
    <t>هزینه استهلاک</t>
  </si>
  <si>
    <t>استهلاک انباشته</t>
  </si>
  <si>
    <t>ارزش دفتری</t>
  </si>
  <si>
    <t>محاسبه استهلاک به روش خط مستقیم ( sln)</t>
  </si>
  <si>
    <t>محاسبه استهلاک به روش مجموع ارقام سنوات ( SYD)</t>
  </si>
  <si>
    <t>محاسبه استهلاک به روش مانده نزولی( DDB)</t>
  </si>
  <si>
    <t>محاسبه استهلاک به روش تعاد تولید</t>
  </si>
  <si>
    <t>محاسبه استهلاک به روش ساعات کارکرد</t>
  </si>
  <si>
    <t xml:space="preserve">محاسبه مقایسه ای هزینه استهلاک به هر پنج روش </t>
  </si>
  <si>
    <t>تعاد تولید</t>
  </si>
  <si>
    <t>ساعات کارکرد</t>
  </si>
  <si>
    <t>خط مستقیم</t>
  </si>
  <si>
    <t>مانده نزولی</t>
  </si>
  <si>
    <t>ارقام سنوات</t>
  </si>
  <si>
    <t>شرکت بهار</t>
  </si>
  <si>
    <t xml:space="preserve">صورت مغایرت بانک </t>
  </si>
  <si>
    <t xml:space="preserve">به تاریخ 31 اردیبهشت 1383 </t>
  </si>
  <si>
    <t xml:space="preserve">بانک </t>
  </si>
  <si>
    <t>مانده 1383/2/31</t>
  </si>
  <si>
    <t>کسر می شود :</t>
  </si>
  <si>
    <t>چک های معوق صادره در2/25 ( 500 ريال ) و در 2/27 ( 900 ريال )</t>
  </si>
  <si>
    <t>مانده تعدیل شده بانک به تاریخ 1383/2/31</t>
  </si>
  <si>
    <t xml:space="preserve">دفاتر </t>
  </si>
  <si>
    <t>اضافه می شود :</t>
  </si>
  <si>
    <t xml:space="preserve">وصول سند دریافتنی حاوی 119 ريال بهره توسط بانک </t>
  </si>
  <si>
    <t xml:space="preserve">درآمد بهره سپرده ثابت </t>
  </si>
  <si>
    <t>هزینه کارمزد</t>
  </si>
  <si>
    <t>چک بدون محل</t>
  </si>
  <si>
    <t>انتقال الکترونیکی وجوه هزینه اجاره</t>
  </si>
  <si>
    <t>مانده تعدیل شده دفتر به تاریخ 1383/2/31</t>
  </si>
  <si>
    <t>سپرده بین راهی 2/31</t>
  </si>
  <si>
    <t>تمرین 1</t>
  </si>
  <si>
    <t>تمرین 2</t>
  </si>
  <si>
    <t>تمرین 3</t>
  </si>
  <si>
    <t>تمرین 4</t>
  </si>
  <si>
    <t xml:space="preserve">دوره </t>
  </si>
  <si>
    <t>بهره پرداختی</t>
  </si>
  <si>
    <t>هزینه بهره</t>
  </si>
  <si>
    <t>مانده صرف</t>
  </si>
  <si>
    <t>مبلغ د فتری</t>
  </si>
  <si>
    <t>ارزش اوراق قرضه</t>
  </si>
  <si>
    <t>نرخ بهره قراردادی</t>
  </si>
  <si>
    <t>بهره پرداختی شش ماهه</t>
  </si>
  <si>
    <t>نرخ بهره بازار</t>
  </si>
  <si>
    <t>تاریخ انتشار</t>
  </si>
  <si>
    <t>اطلاعات مربوط مرکز و شعبه</t>
  </si>
  <si>
    <t>کاربرگ مربوط به شرکت الف و شعبه قم (ارقام به هزار ریال)</t>
  </si>
  <si>
    <t>شرح</t>
  </si>
  <si>
    <t>ارقام به هزار ریال</t>
  </si>
  <si>
    <t>مرکز</t>
  </si>
  <si>
    <t>شعبه</t>
  </si>
  <si>
    <t>اطلاعات مربوط به اصلاحات کالای دریافتی و ارسالی</t>
  </si>
  <si>
    <t>تعدیلات</t>
  </si>
  <si>
    <t>اقلام ترکیبی</t>
  </si>
  <si>
    <t xml:space="preserve">بدهکار </t>
  </si>
  <si>
    <t>بستانکار</t>
  </si>
  <si>
    <t>موجودی کالا 1/1</t>
  </si>
  <si>
    <t>صورت سود و زیان:</t>
  </si>
  <si>
    <t>خرید</t>
  </si>
  <si>
    <t>بدهکار</t>
  </si>
  <si>
    <t>کالای ارسالی</t>
  </si>
  <si>
    <t>کالای دریافتی</t>
  </si>
  <si>
    <t>موجودی کالا 12/29</t>
  </si>
  <si>
    <t>هزینه های عملیاتی</t>
  </si>
  <si>
    <t>سود انباشته 1/1</t>
  </si>
  <si>
    <t>اطلاعات مربوط به اصلاحلات شعبه و مرکز</t>
  </si>
  <si>
    <t>بانک</t>
  </si>
  <si>
    <t>حسابهای دریافتنی</t>
  </si>
  <si>
    <t>زمین</t>
  </si>
  <si>
    <t>ساختمان</t>
  </si>
  <si>
    <t>صورت سود انباشته:</t>
  </si>
  <si>
    <t>حسابهای پرداختنی</t>
  </si>
  <si>
    <t>حقوق پرداختنی</t>
  </si>
  <si>
    <t>ترازنامه:</t>
  </si>
  <si>
    <t>اداره مرکزی</t>
  </si>
  <si>
    <t>سرمایه</t>
  </si>
  <si>
    <t>سود انباشته</t>
  </si>
  <si>
    <t>جمع و موازنه</t>
  </si>
  <si>
    <t xml:space="preserve">کاربرگ مربوط به شرکت مهر و شعبه شهریار(ارقام به هزار ریال) </t>
  </si>
  <si>
    <t>شرکت الف و شعبه قم</t>
  </si>
  <si>
    <t>اطلاعات مربئط به شرکت مهر و شعبه شهریار</t>
  </si>
  <si>
    <t>موضوع</t>
  </si>
  <si>
    <t>صورت سود(زیان) ترکیبی</t>
  </si>
  <si>
    <t>دوره مالی منتهی به ......</t>
  </si>
  <si>
    <t>مبلغ(به هزار ریال)</t>
  </si>
  <si>
    <t>اطلاعات مربوط به تعدیل سود تحقق نیافته</t>
  </si>
  <si>
    <t>بهای تمام شده کالای فروش رفته</t>
  </si>
  <si>
    <t>دارایی ها:</t>
  </si>
  <si>
    <t xml:space="preserve">سود تحقق نیافته </t>
  </si>
  <si>
    <t>کالای اماده برای فروش</t>
  </si>
  <si>
    <t>اطلاعات مربوط یه تعدیل حساب شعبه و مرکز</t>
  </si>
  <si>
    <t>بدهی و سرمایه:</t>
  </si>
  <si>
    <t>موجودی کالا 29/12</t>
  </si>
  <si>
    <t>اداره مرکز</t>
  </si>
  <si>
    <t>صورت سود (زیان)انباشته:</t>
  </si>
  <si>
    <t xml:space="preserve">شعبه </t>
  </si>
  <si>
    <t>اموال</t>
  </si>
  <si>
    <t>صورت سود(زیان)  انباشته ترکیبی</t>
  </si>
  <si>
    <t>سایر دارایی ها</t>
  </si>
  <si>
    <t>بدهی جاری</t>
  </si>
  <si>
    <t>اطلاعات مربوط به تعدیل  کالای دریافتی و ارسالی</t>
  </si>
  <si>
    <t>ترازنامه :</t>
  </si>
  <si>
    <t>بدهی بلند مدت</t>
  </si>
  <si>
    <t>سود انباشته اخر دوره</t>
  </si>
  <si>
    <t>سود تحقق نیافته</t>
  </si>
  <si>
    <t>سهام عادی</t>
  </si>
  <si>
    <t>اطلاعات مربوط به تعدیل موجودی کالای اخردوره</t>
  </si>
  <si>
    <t>موجودی کالا12/29(سودوزیان)</t>
  </si>
  <si>
    <t>موجودی کالا12/29(ترازنامه)</t>
  </si>
  <si>
    <t>تمرین</t>
  </si>
  <si>
    <t xml:space="preserve">تهیه صورت های مالی </t>
  </si>
  <si>
    <t>اصول حسابداری 1</t>
  </si>
  <si>
    <t>اصول حسابداری 2</t>
  </si>
  <si>
    <t>اصول حسابداری 3</t>
  </si>
  <si>
    <t>محاسبه استهلاک به روش های مختلف</t>
  </si>
  <si>
    <t xml:space="preserve">انقضای بهره </t>
  </si>
  <si>
    <t>جدول استهلاک صرف اوراق قرضه</t>
  </si>
  <si>
    <t>صورت مغایرت بانکی</t>
  </si>
  <si>
    <t>حسابداری صنعتی 1</t>
  </si>
  <si>
    <t>حسابداری صنعتی 2</t>
  </si>
  <si>
    <t>حسابداری صنعتی 3</t>
  </si>
  <si>
    <t>حسابداری میانه 1</t>
  </si>
  <si>
    <t>حسابداری میانه 2</t>
  </si>
  <si>
    <t>حسابداری پیشرفته 1</t>
  </si>
  <si>
    <t>حسابداری پیشرفته 2</t>
  </si>
  <si>
    <t>تمرین 17</t>
  </si>
  <si>
    <t>تمرین 18</t>
  </si>
  <si>
    <t>حسابداری شعب ( ارسال کالا به شعبه به قیمت تمام شد ه )</t>
  </si>
  <si>
    <t>حسابداری شعب ( ارسال کالا به شعبه به قیمت تمام شد ه بعلاوه چند  د رصد  )</t>
  </si>
  <si>
    <t>ترازنامه ترکیبی</t>
  </si>
  <si>
    <t>تمرین 19</t>
  </si>
  <si>
    <t>جدول تجزیه و تحلیل بهای پرداختی برای شرکت فرعی در زمان تحصیل - تئوری شخصیت حقوقی</t>
  </si>
  <si>
    <t>سهم اصلی</t>
  </si>
  <si>
    <t>ارزش متعارف بازار شرکت فرعی</t>
  </si>
  <si>
    <t xml:space="preserve">سهم اصلی </t>
  </si>
  <si>
    <t xml:space="preserve">سهم اقلیت </t>
  </si>
  <si>
    <t>کسر می شود  :</t>
  </si>
  <si>
    <t>تفاوت ارزش متعارف و ارزش دفتری :</t>
  </si>
  <si>
    <t xml:space="preserve">موجودی کالا </t>
  </si>
  <si>
    <t>تجهیزات</t>
  </si>
  <si>
    <t>امتیاز</t>
  </si>
  <si>
    <t>اوراق قرضه</t>
  </si>
  <si>
    <t>مانده ارزش متعارف</t>
  </si>
  <si>
    <t>خالص دارائی به ارزش دفتری</t>
  </si>
  <si>
    <t>سرقفلی</t>
  </si>
  <si>
    <t>محلسبه سرقفلی  :</t>
  </si>
  <si>
    <r>
      <t xml:space="preserve">جمع ارز بازار طبق جدول بالا (  80 % </t>
    </r>
    <r>
      <rPr>
        <sz val="10"/>
        <rFont val="Albertus Extra Bold"/>
        <family val="2"/>
      </rPr>
      <t>÷</t>
    </r>
    <r>
      <rPr>
        <sz val="8.5"/>
        <rFont val="Arial"/>
        <family val="0"/>
      </rPr>
      <t xml:space="preserve"> 153600 )</t>
    </r>
  </si>
  <si>
    <t>خالص دارائی های شرکت فرعی به ارزش بازار ( 72000 - 189000 )</t>
  </si>
  <si>
    <t xml:space="preserve">شرکت تهر ان و ری </t>
  </si>
  <si>
    <t xml:space="preserve">کاربرگ تلفیقی </t>
  </si>
  <si>
    <t>بتاریخ 1383/1/1</t>
  </si>
  <si>
    <t xml:space="preserve">نام حساب </t>
  </si>
  <si>
    <t xml:space="preserve">شرکت ری </t>
  </si>
  <si>
    <t>حذفیات</t>
  </si>
  <si>
    <t xml:space="preserve">حقوق اقلیت </t>
  </si>
  <si>
    <t>اقلام تلفیقی</t>
  </si>
  <si>
    <t>شرکت تهران</t>
  </si>
  <si>
    <t>وجوه نقد</t>
  </si>
  <si>
    <t>حساب های دریافتنی</t>
  </si>
  <si>
    <t>موجودی کالا</t>
  </si>
  <si>
    <t xml:space="preserve">زمین </t>
  </si>
  <si>
    <t xml:space="preserve">ساختمان </t>
  </si>
  <si>
    <t xml:space="preserve">سرمایه گذاری در شرکت ری </t>
  </si>
  <si>
    <t>حساب های پرداختنی</t>
  </si>
  <si>
    <t>اوراق قرضه پرداختننی</t>
  </si>
  <si>
    <t>صرف سهام</t>
  </si>
  <si>
    <t xml:space="preserve">مازاد حقوق اقلیت </t>
  </si>
  <si>
    <t>حقوق اقلیت</t>
  </si>
  <si>
    <t>تمرین 20</t>
  </si>
  <si>
    <t>شرکت الف</t>
  </si>
  <si>
    <t>شرکت ب</t>
  </si>
  <si>
    <t>شرکت ج</t>
  </si>
  <si>
    <t xml:space="preserve">وجه نقد </t>
  </si>
  <si>
    <t>وام دریافتنی ج</t>
  </si>
  <si>
    <t>سرمایه گذاری در شرکت ب</t>
  </si>
  <si>
    <t xml:space="preserve">سرمایه گذاری در شرکت ج </t>
  </si>
  <si>
    <t>اموال و ماشین آلات</t>
  </si>
  <si>
    <t>اسناد پرداختنی</t>
  </si>
  <si>
    <t>محلسبه سرقفلی شرکت ب  :</t>
  </si>
  <si>
    <t>محلسبه سرقفلی شرکت ج  :</t>
  </si>
  <si>
    <t>بهای پرداختی بابت سهام شرکت فرعی ب</t>
  </si>
  <si>
    <t>بهای پرداختی بابت سهام شرکت فرعی ج</t>
  </si>
  <si>
    <t>نود درصدخالص دارائی های شرکت فرعی به ارزش دفتری .0/90 *( 140000 - 410000 )</t>
  </si>
  <si>
    <t>نود درصدخالص دارائی های شرکت فرعی به ارزش دفتری 0/80 *( 25000 - 165000 )</t>
  </si>
  <si>
    <t>مازاد تخصیص نیافته</t>
  </si>
  <si>
    <t>کسر می شود : تخصیص مازاد</t>
  </si>
  <si>
    <t>ارزش متعارف</t>
  </si>
  <si>
    <t>ارزش دفری</t>
  </si>
  <si>
    <t>تفاوت</t>
  </si>
  <si>
    <t>درصد</t>
  </si>
  <si>
    <t>سهام عادی  :</t>
  </si>
  <si>
    <t>سود انباشته :</t>
  </si>
  <si>
    <t xml:space="preserve">تخصیص هزینه های سر بار بر حسب دوایر </t>
  </si>
  <si>
    <t>تمرین 7</t>
  </si>
  <si>
    <t>دوایر</t>
  </si>
  <si>
    <t>سطح زیر بنا</t>
  </si>
  <si>
    <t>تعدادکارکنان</t>
  </si>
  <si>
    <t>ارزش سرمایه گذ اری د رتجهیزات</t>
  </si>
  <si>
    <t>اطلاعات مربوط به تولید</t>
  </si>
  <si>
    <t>الف</t>
  </si>
  <si>
    <t>ب</t>
  </si>
  <si>
    <t>ج</t>
  </si>
  <si>
    <t xml:space="preserve">جمع </t>
  </si>
  <si>
    <t>تولیدی 11</t>
  </si>
  <si>
    <t>تولیدی 15</t>
  </si>
  <si>
    <t>تولیدی 21</t>
  </si>
  <si>
    <t>تولیدی 25</t>
  </si>
  <si>
    <t>خدماتی الف</t>
  </si>
  <si>
    <t>خدماتی ب</t>
  </si>
  <si>
    <t>خدماتی ج</t>
  </si>
  <si>
    <t xml:space="preserve">جمع هزینه های سربار کارخانه قبل از تسهیم دوایر خدماتی </t>
  </si>
  <si>
    <t>تسهیم د وایر خدماتی :</t>
  </si>
  <si>
    <t>دایره ج - ( مبنا : سطح زیر بنا )</t>
  </si>
  <si>
    <t>دایره ب - ( مبنا : تعداد کارکنان  )</t>
  </si>
  <si>
    <t>دایره الف - ( مبنا : ار زش سرمایه گذ اری در تجهیزات )</t>
  </si>
  <si>
    <t xml:space="preserve">جمع سربار کارخانه بعد  از تسهیم دوایر خدماتی </t>
  </si>
  <si>
    <t>مبنا :</t>
  </si>
  <si>
    <t xml:space="preserve">ساعات کار مستقیم </t>
  </si>
  <si>
    <t xml:space="preserve">هزینه کار مستقیم    </t>
  </si>
  <si>
    <t xml:space="preserve">ساعات کار ماشین </t>
  </si>
  <si>
    <t xml:space="preserve">نرخ جذ ب سربار </t>
  </si>
  <si>
    <t>جدول مقداری تولید :</t>
  </si>
  <si>
    <t>واحد</t>
  </si>
  <si>
    <t>کالای در جریان ساخت اول دوره ( از لحاظ مواد 100% و از لحاظ کار  و تبدیل 75/0 تکمیل )</t>
  </si>
  <si>
    <t xml:space="preserve">انتقال به دایره تکمیل طی ماه </t>
  </si>
  <si>
    <t>جمع واحدهای قابل تخصیص</t>
  </si>
  <si>
    <t xml:space="preserve">انتقالی به انبار کالای ساخته شده </t>
  </si>
  <si>
    <t>ضایعات</t>
  </si>
  <si>
    <t>کالای در جریان ساخت پایان مهر ماه ( از لحاظ مواد 100% و از لحاظ کار  و تبدیل 50/0 تکمیل )</t>
  </si>
  <si>
    <t>جمع واحدهای تخصیص یافته</t>
  </si>
  <si>
    <t xml:space="preserve">هزینه های منظور شده به حساب دایره تکمیل </t>
  </si>
  <si>
    <t>ريال</t>
  </si>
  <si>
    <t>کالای د ر جریان ساخت ابتدای دوره :</t>
  </si>
  <si>
    <t xml:space="preserve">هزینه انتقالی از دایره قبل </t>
  </si>
  <si>
    <t>هزینه های دایره تکمیل :</t>
  </si>
  <si>
    <t>مواد ( 100% )</t>
  </si>
  <si>
    <t>دستمزد ( 75/0)</t>
  </si>
  <si>
    <t xml:space="preserve">سربار (75/0) </t>
  </si>
  <si>
    <t>انتقالی به دایره طی ماه ( 40000 واحد )</t>
  </si>
  <si>
    <t>هزینه های اضافه شده طی مهر ماه :</t>
  </si>
  <si>
    <t xml:space="preserve">مواد </t>
  </si>
  <si>
    <t xml:space="preserve">د ستمزد </t>
  </si>
  <si>
    <t>سربار</t>
  </si>
  <si>
    <t xml:space="preserve">جمع هزینه های دایره در مهر ماه </t>
  </si>
  <si>
    <t>تمرین 8</t>
  </si>
  <si>
    <t>جمع کل هزینه ها</t>
  </si>
  <si>
    <t>معادل آحاد تکمیل شده به روش FiFo</t>
  </si>
  <si>
    <t xml:space="preserve">هزینه انتقالی </t>
  </si>
  <si>
    <t>مواد</t>
  </si>
  <si>
    <t xml:space="preserve">تبدیل </t>
  </si>
  <si>
    <t xml:space="preserve">محصول تکمیل شده </t>
  </si>
  <si>
    <t>کاردرجریان ساخت آخر دوره</t>
  </si>
  <si>
    <t>کاردرجریان ساخت اول دوره</t>
  </si>
  <si>
    <t xml:space="preserve">گزار ش هزینه تولید  </t>
  </si>
  <si>
    <t>مقدار</t>
  </si>
  <si>
    <t>مبلغ</t>
  </si>
  <si>
    <t xml:space="preserve">بهای تمام شده هر واحد  </t>
  </si>
  <si>
    <t>تعدیل بابت ضایعات</t>
  </si>
  <si>
    <t xml:space="preserve">تعدیل </t>
  </si>
  <si>
    <t>تمرین 11</t>
  </si>
  <si>
    <t>وجه نقد حاصل از فروش</t>
  </si>
  <si>
    <t>فروردین</t>
  </si>
  <si>
    <t>اردیبهشت</t>
  </si>
  <si>
    <t>خرداد</t>
  </si>
  <si>
    <t>فروش سال 1380</t>
  </si>
  <si>
    <t>بهمن</t>
  </si>
  <si>
    <t>اسفند</t>
  </si>
  <si>
    <t>فروش سال 1381</t>
  </si>
  <si>
    <t xml:space="preserve">تیر </t>
  </si>
  <si>
    <t>مرداد</t>
  </si>
  <si>
    <t>شهریور</t>
  </si>
  <si>
    <t>مهر</t>
  </si>
  <si>
    <t>آبان</t>
  </si>
  <si>
    <t>آذر</t>
  </si>
  <si>
    <t>دی</t>
  </si>
  <si>
    <t>ماند ه وجه نقد  در اول دوره</t>
  </si>
  <si>
    <t>دریافتها :</t>
  </si>
  <si>
    <t>دریاقتی بابت فروش</t>
  </si>
  <si>
    <t>دریافتی بابت موجودی ناباب</t>
  </si>
  <si>
    <t>جمع نقدینگی</t>
  </si>
  <si>
    <t>پرداخت ها :</t>
  </si>
  <si>
    <t>بابت خرید مواد</t>
  </si>
  <si>
    <t>موجودی آخر دوره</t>
  </si>
  <si>
    <t>موجودی اول دوره</t>
  </si>
  <si>
    <t>بهای تمام شد ه فروش رفته</t>
  </si>
  <si>
    <t>بهای تمام شد ه خرید اری شد ه</t>
  </si>
  <si>
    <t xml:space="preserve">هزینه یابی مرحله ای </t>
  </si>
  <si>
    <t>بودجه نقدی ( بودجه در  یافت ها و پرداخت ها )</t>
  </si>
  <si>
    <t>هزینه یابی بر مبنای فعالیت ( ABC )</t>
  </si>
  <si>
    <t>برآورد فروش ها برای سال 1383</t>
  </si>
  <si>
    <t>تعداد موجودی های مورد نظر در 1383/1/1</t>
  </si>
  <si>
    <t>تعداد موجودی های مورد نظر در 1383/12/29</t>
  </si>
  <si>
    <t>بودجه فروش</t>
  </si>
  <si>
    <t>محصول</t>
  </si>
  <si>
    <t>قیمت</t>
  </si>
  <si>
    <t xml:space="preserve">ب </t>
  </si>
  <si>
    <t>مقدار مورد نیاز تولید یک واحد</t>
  </si>
  <si>
    <t>بودجه تولید</t>
  </si>
  <si>
    <t>شماره واحد</t>
  </si>
  <si>
    <t>عدد</t>
  </si>
  <si>
    <t>تولید لازم برای فروش</t>
  </si>
  <si>
    <t>کیلوگرم</t>
  </si>
  <si>
    <t>متر</t>
  </si>
  <si>
    <t>تولید بودجه ای</t>
  </si>
  <si>
    <t>بودجه مواد</t>
  </si>
  <si>
    <t>مواد مورد نیاز برای تولید</t>
  </si>
  <si>
    <t>ساعت</t>
  </si>
  <si>
    <t>نرخ</t>
  </si>
  <si>
    <t>بودجه خرید مواد</t>
  </si>
  <si>
    <t>مواد مورد نیاز برای خرید</t>
  </si>
  <si>
    <t>خرید بودجه ای</t>
  </si>
  <si>
    <t>بودجه دستمزد</t>
  </si>
  <si>
    <t>کل ساعت</t>
  </si>
  <si>
    <t>بودجه کالای ساخته شده در 1383/12/29</t>
  </si>
  <si>
    <t>دستمزد</t>
  </si>
  <si>
    <t>تمرین 9</t>
  </si>
  <si>
    <t>بودجه قابل انعطاف دایره قفسه سازی</t>
  </si>
  <si>
    <t>برای مهر ماه 1382</t>
  </si>
  <si>
    <t>درصد ظرفیت</t>
  </si>
  <si>
    <t>ساعات کار مستقیم</t>
  </si>
  <si>
    <t>هزینه دستمزد مستقیم</t>
  </si>
  <si>
    <t>محاسبات نرخ سربار متغیر</t>
  </si>
  <si>
    <t>اختلاف ساعات کار دو سطح</t>
  </si>
  <si>
    <t>اختلاف</t>
  </si>
  <si>
    <t>هزینه های متغیر</t>
  </si>
  <si>
    <t>حقوق کارگر</t>
  </si>
  <si>
    <t>دستمزد غیر مستقیم</t>
  </si>
  <si>
    <t>حقوق کارکنان</t>
  </si>
  <si>
    <t>ملزومات کارخانه</t>
  </si>
  <si>
    <t xml:space="preserve">استهلاک </t>
  </si>
  <si>
    <t>عوارض</t>
  </si>
  <si>
    <t>بیمه</t>
  </si>
  <si>
    <t>تعمیرات</t>
  </si>
  <si>
    <t>نیرو</t>
  </si>
  <si>
    <t>جمع هزینه های غیر مستقیم</t>
  </si>
  <si>
    <t>نرخ سربار کارخانه</t>
  </si>
  <si>
    <t>سوال -</t>
  </si>
  <si>
    <t>محاسبه نرخ سربار متغیر</t>
  </si>
  <si>
    <t xml:space="preserve">تهیه جدولی به شکل زیر </t>
  </si>
  <si>
    <t>تهیه بودجه در سطح 87%</t>
  </si>
  <si>
    <t>ثابت</t>
  </si>
  <si>
    <t>متغیر</t>
  </si>
  <si>
    <t>تمرین 10</t>
  </si>
  <si>
    <t>بابت هزینه ثابت</t>
  </si>
  <si>
    <t>بابت هزینه متغیر</t>
  </si>
  <si>
    <t>بابت هزینه عوارض</t>
  </si>
  <si>
    <t>بابت هزینه سود سهام</t>
  </si>
  <si>
    <t>بابت هزینه تبلیغات</t>
  </si>
  <si>
    <t>بابت هزینه تعویض</t>
  </si>
  <si>
    <t>بابت هزینه مالیات</t>
  </si>
  <si>
    <t>بابت هزینه باز پرداخت وام</t>
  </si>
  <si>
    <t>بابت هزینه بهره</t>
  </si>
  <si>
    <t>هزینه ثابت ماهانه</t>
  </si>
  <si>
    <t>هزینه ثابت نقدی</t>
  </si>
  <si>
    <t>هزینه ثابت سالانه</t>
  </si>
  <si>
    <t>هزینه سربار متغیر</t>
  </si>
  <si>
    <t>تمرین 13</t>
  </si>
  <si>
    <t>تمرین 14</t>
  </si>
  <si>
    <t>تمرین 15</t>
  </si>
  <si>
    <t>تمرین 16</t>
  </si>
  <si>
    <t>صورت جریان های نقدی</t>
  </si>
  <si>
    <t>تهیه ترازنامه ، صورت سود  و زیان ، صورت حقوق صاحبان سهام و نسبت های مالی</t>
  </si>
  <si>
    <t>بودجه عملیاتی</t>
  </si>
  <si>
    <t>بوجه قابل انعطاف</t>
  </si>
  <si>
    <t>ماند ه وام</t>
  </si>
  <si>
    <t>نرخ بهره</t>
  </si>
  <si>
    <t>جمع پرداخت ها</t>
  </si>
  <si>
    <t>مانده وجه نقد در آخر دوره</t>
  </si>
  <si>
    <t>تمرین 12</t>
  </si>
  <si>
    <t>دارایی ها :</t>
  </si>
  <si>
    <t>29/12/1378</t>
  </si>
  <si>
    <t>29/12/1377</t>
  </si>
  <si>
    <t>دارایی جاری</t>
  </si>
  <si>
    <t xml:space="preserve"> وجوه نقد</t>
  </si>
  <si>
    <t xml:space="preserve"> حسابهای دریافتنی</t>
  </si>
  <si>
    <t xml:space="preserve"> موجودی کالا</t>
  </si>
  <si>
    <t>پیش پرداخت اجاره</t>
  </si>
  <si>
    <t>جمع دارایی ها ی جاری</t>
  </si>
  <si>
    <t>سرمایه گذاری بلند مدت</t>
  </si>
  <si>
    <t>اموال ماشین آلات و تجیزات</t>
  </si>
  <si>
    <t>تجیزات</t>
  </si>
  <si>
    <t>ساختمان ها</t>
  </si>
  <si>
    <t>کسر میشود:استهلاک انباشته ماشین آلات و تجیزات</t>
  </si>
  <si>
    <t>جمع اموال ماشین آلات و تجیزات</t>
  </si>
  <si>
    <t>جمع دارایی ها</t>
  </si>
  <si>
    <t>بدهی ها:</t>
  </si>
  <si>
    <t>بدهی های جاری</t>
  </si>
  <si>
    <t>اسناد پرداختنی کوتاه مدت</t>
  </si>
  <si>
    <t>جمع بدهی های جاری</t>
  </si>
  <si>
    <t>اسناد پرداختنی بلند مدت</t>
  </si>
  <si>
    <t>جمع بدهی های</t>
  </si>
  <si>
    <t>حقوق صاحبان سهام :</t>
  </si>
  <si>
    <t>سرمایه پرداخت شده:</t>
  </si>
  <si>
    <t xml:space="preserve">  سهام سرمایه 10 ریالی</t>
  </si>
  <si>
    <t xml:space="preserve"> جمع سرمایه پرداخت شده</t>
  </si>
  <si>
    <t xml:space="preserve"> جمع حقوق صاحبان سهام</t>
  </si>
  <si>
    <t>جمع بدهی هاو حقوق صاحبان سهام</t>
  </si>
  <si>
    <t>سود ناویژه</t>
  </si>
  <si>
    <t>هزینه های عملیاتی :</t>
  </si>
  <si>
    <t>هزینه حقوق</t>
  </si>
  <si>
    <t>هزینه اجاره</t>
  </si>
  <si>
    <t>سود عملیاتی</t>
  </si>
  <si>
    <t>سایر سودها ( زیان ها ) :</t>
  </si>
  <si>
    <t xml:space="preserve">زیان حاصل از فروش تجهیزات </t>
  </si>
  <si>
    <t>سود حاصل از فروش سرمایه گذاری ها</t>
  </si>
  <si>
    <t>سود ویژه قبل از مالیات</t>
  </si>
  <si>
    <t>کسز می شود : مالیات بر درآمد</t>
  </si>
  <si>
    <t>سود ویژه</t>
  </si>
  <si>
    <t xml:space="preserve"> بهای تمام شده کالای فروش رفته </t>
  </si>
  <si>
    <t xml:space="preserve">صورت سود و زیان </t>
  </si>
  <si>
    <t>شرکت البرز</t>
  </si>
  <si>
    <t>افزایش ( کاهش )</t>
  </si>
  <si>
    <t>وچوه نقد وصولی از مشتریان</t>
  </si>
  <si>
    <t>وچوه نقدپرداختی به فروشندگان  کالا</t>
  </si>
  <si>
    <t>وچوه نقد پرداختی به کارکنان بابت حقوق</t>
  </si>
  <si>
    <t>وچوه نقد پرداختی بابت اجاره</t>
  </si>
  <si>
    <t xml:space="preserve">وچوه نقد پرداختی به اعتبار دهندگان بابت بهره </t>
  </si>
  <si>
    <t>وچوه نقد پرداختی بابت مالیات</t>
  </si>
  <si>
    <t>خالص وجوه نقد حاصل از فعالیت های عملیاتی :</t>
  </si>
  <si>
    <t>جریان های نقدی ناشی از فعالیت های عملیاتی :</t>
  </si>
  <si>
    <t>جریان های نقدی ناشی از فعالیت های سرمایه گذاری :</t>
  </si>
  <si>
    <t>فروش سرمایه گذاری ها</t>
  </si>
  <si>
    <t>خرید تجهیزات</t>
  </si>
  <si>
    <t xml:space="preserve">فروش تجهیزات </t>
  </si>
  <si>
    <t xml:space="preserve">الحاق ساختمان </t>
  </si>
  <si>
    <t>فروش سرمایه گذاری</t>
  </si>
  <si>
    <t>خرید  نقدی تجهیزات</t>
  </si>
  <si>
    <t>دریافت و پرداخت نقدی بابت دارایی ها و استقراض  و سهام</t>
  </si>
  <si>
    <t>الحاق ساختمان</t>
  </si>
  <si>
    <t>فروش تجهزات</t>
  </si>
  <si>
    <t xml:space="preserve">پرداخت سند </t>
  </si>
  <si>
    <t>پرداخت سود نقدی</t>
  </si>
  <si>
    <t>خالص وجوه نقد حاصل از فعالیت های سرمایه گذاری :</t>
  </si>
  <si>
    <t>جریان های نقدی ناشی از فعالیت های تامین مالی :</t>
  </si>
  <si>
    <t>پرداخت سود سهام</t>
  </si>
  <si>
    <t>خالص وجوه نقد حاصل از فعالیت های تامین مالی :</t>
  </si>
  <si>
    <t>خالص افزایش در وجوه نقد</t>
  </si>
  <si>
    <t>وجوه نقد در ابتدای سال</t>
  </si>
  <si>
    <t>وجوه نقد درپایان سال</t>
  </si>
  <si>
    <t>صورت جریان های نقدی ( روش مستقیم )</t>
  </si>
  <si>
    <t>فعالیت های سرمایگذاری و تامی مالی بی اثر بر وجه نقد :</t>
  </si>
  <si>
    <t>خرید یک - سوم  تهیزات در ازای سند بلند مدت</t>
  </si>
  <si>
    <t>بازخرید یک فقره سند از طریق انتشار سهام</t>
  </si>
  <si>
    <t>خرید تجهیزات از طریق انتشار سهام</t>
  </si>
  <si>
    <t>تطبیق سود ویه با خالص نقد حاصل از فعالیت های عملیاتی :</t>
  </si>
  <si>
    <t>تعدیل های لازم :</t>
  </si>
  <si>
    <t>افزایش در حساب های دریافتنی</t>
  </si>
  <si>
    <t>کاهش در موجودی کالا</t>
  </si>
  <si>
    <t>افزایش در پیش پرداخت اجاره</t>
  </si>
  <si>
    <t xml:space="preserve">کاهش در حساب های پرداختنی </t>
  </si>
  <si>
    <t xml:space="preserve">افزایش در اسناد پرداختنی </t>
  </si>
  <si>
    <t>کاهش در حقوق پرداختنی</t>
  </si>
  <si>
    <t>مرکز فعالیت</t>
  </si>
  <si>
    <t>عامل ایجاد هزینه</t>
  </si>
  <si>
    <t>برآورد هزینه</t>
  </si>
  <si>
    <t>تعداد فعالیت مورد انتظار</t>
  </si>
  <si>
    <t>ساعات کار کارگران</t>
  </si>
  <si>
    <t xml:space="preserve">تدارکات مواد اولیه </t>
  </si>
  <si>
    <t xml:space="preserve">تعداد سفارش </t>
  </si>
  <si>
    <t xml:space="preserve">مدیریت قطعات </t>
  </si>
  <si>
    <t>تعداد قطعه</t>
  </si>
  <si>
    <t xml:space="preserve">پرس کاری </t>
  </si>
  <si>
    <t>عمومی کارخانه</t>
  </si>
  <si>
    <t>تعداد فعالیت ها</t>
  </si>
  <si>
    <t>مبلغ واقعی هزینه</t>
  </si>
  <si>
    <t>A</t>
  </si>
  <si>
    <t>B</t>
  </si>
  <si>
    <t>C</t>
  </si>
  <si>
    <t>D</t>
  </si>
  <si>
    <t>کل</t>
  </si>
  <si>
    <t>تولید</t>
  </si>
  <si>
    <t>مواد مستقیم</t>
  </si>
  <si>
    <t xml:space="preserve"> ساعات کار</t>
  </si>
  <si>
    <t xml:space="preserve">تعدادپرس </t>
  </si>
  <si>
    <t xml:space="preserve"> ساعات کار ماشین </t>
  </si>
  <si>
    <t>نرخ به ازای هر فعالیت</t>
  </si>
  <si>
    <t>حل :</t>
  </si>
  <si>
    <t>سربار جذبی</t>
  </si>
  <si>
    <t>کسر یا اضافه جذب</t>
  </si>
  <si>
    <t>بند 1</t>
  </si>
  <si>
    <t>بند 2</t>
  </si>
  <si>
    <t>بند 3</t>
  </si>
  <si>
    <t>سربار هر واحد</t>
  </si>
  <si>
    <t>بند  4</t>
  </si>
  <si>
    <t>بند 5</t>
  </si>
  <si>
    <t>25% سود</t>
  </si>
  <si>
    <t xml:space="preserve">قیمت فروش </t>
  </si>
  <si>
    <t>تمرین 5</t>
  </si>
  <si>
    <t>تمرین 6</t>
  </si>
  <si>
    <t>درآمد حاصل از فروش</t>
  </si>
  <si>
    <t>بهای تمام شده کالای فروش رفته :</t>
  </si>
  <si>
    <t>موجودی کالای در جریان ساخت اول دوره</t>
  </si>
  <si>
    <t>موجودی مواد اول دوره</t>
  </si>
  <si>
    <t>خرید  مواد اولیه</t>
  </si>
  <si>
    <t>آماده برای فروش</t>
  </si>
  <si>
    <t>موجودی مواد آخر دوره</t>
  </si>
  <si>
    <t>مواد مصرف شده مستقیم</t>
  </si>
  <si>
    <t xml:space="preserve">دستمزد مستقیم </t>
  </si>
  <si>
    <t>سربار تولید</t>
  </si>
  <si>
    <t>کل هزینه های تولید</t>
  </si>
  <si>
    <t>کل هزینه های تولید قابل محاسبه</t>
  </si>
  <si>
    <t>موجودی کالای در جریان ساخت آخر دوره</t>
  </si>
  <si>
    <t>بهای تمام شده کالای ساخته شده</t>
  </si>
  <si>
    <t>موجودی کالای ساخته شده اول دوره</t>
  </si>
  <si>
    <t>کالای آماده برای فروش</t>
  </si>
  <si>
    <t>موجودی کالای ساخته شده آخر دوره</t>
  </si>
  <si>
    <t xml:space="preserve">بهای تمام شده کالای فروش رفته </t>
  </si>
  <si>
    <t>بازار یابی</t>
  </si>
  <si>
    <t>عمومی</t>
  </si>
  <si>
    <t>کل هزینه های عملیاتی</t>
  </si>
  <si>
    <t>سود قبل از کسر مالیات</t>
  </si>
  <si>
    <t>هزینه مالیات بر د رآمد ( 40% )</t>
  </si>
  <si>
    <t xml:space="preserve">تهیه صورت سود و زیان یک موسسه تولیدی </t>
  </si>
  <si>
    <t>دایره مونتاژ</t>
  </si>
  <si>
    <t>گزارش بهای تمام شده تولید</t>
  </si>
  <si>
    <t>برای ماه منتهی به 31 مرداد 1382</t>
  </si>
  <si>
    <t>آحاد فیزیکی</t>
  </si>
  <si>
    <t>هزینه های کل</t>
  </si>
  <si>
    <t>کالای د ر جریان ساخت 30 تیر ماه</t>
  </si>
  <si>
    <t>اقدام به تولید طی تیر ماه</t>
  </si>
  <si>
    <t xml:space="preserve">کل قابل محاسبه </t>
  </si>
  <si>
    <t>تکمیل شده و انتقال یافته به دایره تکمیل در طی تیر ماه</t>
  </si>
  <si>
    <t>X</t>
  </si>
  <si>
    <t>کالای در جریان ساخت 31 مرداد ( 25% تکمیل از لحاظ مواد و 55% تکمیل از لحاظ هزینه های تبدیل )</t>
  </si>
  <si>
    <t>Y</t>
  </si>
  <si>
    <t xml:space="preserve">کل محاسبه شده </t>
  </si>
  <si>
    <t xml:space="preserve">شامل 6800 ريال مواد مستقیم و 36400 ريال هزینه های تبدیل </t>
  </si>
  <si>
    <t>جریان تولید</t>
  </si>
  <si>
    <t>معادل احاد تولید</t>
  </si>
  <si>
    <t>هزینه های تبدیل</t>
  </si>
  <si>
    <t>آحاد  قابل محاسبه :</t>
  </si>
  <si>
    <t>هزینه های افزوده شده در طی مرداد ماه</t>
  </si>
  <si>
    <t>کل بهای تمام شده قابل محاسبه</t>
  </si>
  <si>
    <t>تقسیم بر معادل آحادتولید</t>
  </si>
  <si>
    <t>آحاد تکمیل شده</t>
  </si>
  <si>
    <t>تاریخ</t>
  </si>
  <si>
    <t>تعداد</t>
  </si>
  <si>
    <t>1/1/1382</t>
  </si>
  <si>
    <t>موجود ی های ابتدای سال</t>
  </si>
  <si>
    <t>6/1/1382</t>
  </si>
  <si>
    <t>8/1/1382</t>
  </si>
  <si>
    <t>9/1/1382</t>
  </si>
  <si>
    <t>15/1/1382</t>
  </si>
  <si>
    <t>25/1/1382</t>
  </si>
  <si>
    <t xml:space="preserve">خرید </t>
  </si>
  <si>
    <t>27/1/1382</t>
  </si>
  <si>
    <t>30/1/1382</t>
  </si>
  <si>
    <t>شرکت باختر</t>
  </si>
  <si>
    <t xml:space="preserve">کارت انبار </t>
  </si>
  <si>
    <t>سیتم ثبت دائمی - روش میانگین متحرک</t>
  </si>
  <si>
    <t>بهای واحد</t>
  </si>
  <si>
    <t>وارده ( خرید )</t>
  </si>
  <si>
    <t>موجودی</t>
  </si>
  <si>
    <t>صادره ( فروش )</t>
  </si>
  <si>
    <t xml:space="preserve">تاریخ </t>
  </si>
  <si>
    <t>سود تضمین شده ( 5% ارزش اسمی )</t>
  </si>
  <si>
    <t>درامد سرمایه گذاری با نرخ بهره بازار ( 6% )</t>
  </si>
  <si>
    <t>تخفیف تخصیص یافته</t>
  </si>
  <si>
    <t>مانده تخصیص نیافته تخفیف</t>
  </si>
  <si>
    <t xml:space="preserve">ارزش دفتری اوراق قرضه </t>
  </si>
  <si>
    <t>1381/1/1</t>
  </si>
  <si>
    <t>1381/7/1</t>
  </si>
  <si>
    <t>1382/1/1</t>
  </si>
  <si>
    <t>1382/7/1</t>
  </si>
  <si>
    <t>1383/1/1</t>
  </si>
  <si>
    <t>1383/7/1</t>
  </si>
  <si>
    <t>1384/1/1</t>
  </si>
  <si>
    <t>1384/7/1</t>
  </si>
  <si>
    <t>1385/1/1</t>
  </si>
  <si>
    <t>1385/7/1</t>
  </si>
  <si>
    <t>1386/1/1</t>
  </si>
  <si>
    <t>تمرین 21</t>
  </si>
  <si>
    <t xml:space="preserve">صورت های مالی تلفیقی ( تئوری شخصیت حقوقی ) </t>
  </si>
  <si>
    <t>صورت های مالی تلفیقی ( تئوری شرکت مادر )</t>
  </si>
  <si>
    <t xml:space="preserve">استهلاک اوراق قرضه </t>
  </si>
  <si>
    <t>کارت انبار ( روش میانگین متحرک )</t>
  </si>
  <si>
    <t>مبحث جاری در حسابداری</t>
  </si>
  <si>
    <t>تمرین 22</t>
  </si>
  <si>
    <t>تاریخ وصول</t>
  </si>
  <si>
    <t>مانده وام در1/1</t>
  </si>
  <si>
    <t>وصولی اقساط اجاره</t>
  </si>
  <si>
    <t>مانده درآمد انتقالی به دوره آتی</t>
  </si>
  <si>
    <t>مانده خالص تسهیلات</t>
  </si>
  <si>
    <t xml:space="preserve">نرخ سود تضمین شده </t>
  </si>
  <si>
    <t>درآمد تسهیلات</t>
  </si>
  <si>
    <t>کاهش اصل مطالبات</t>
  </si>
  <si>
    <t xml:space="preserve">مانده درآمد انتقالی به دوره آتی پایان دوره </t>
  </si>
  <si>
    <t>پایان سال 1</t>
  </si>
  <si>
    <t>پایان سال 2</t>
  </si>
  <si>
    <t>پایان سال 3</t>
  </si>
  <si>
    <t>پایان سال 4</t>
  </si>
  <si>
    <t>پایان سال 5</t>
  </si>
  <si>
    <t>پایان سال 6</t>
  </si>
  <si>
    <t>پایان سال 7</t>
  </si>
  <si>
    <t>پایان سال 8</t>
  </si>
  <si>
    <t>پایان سال 9</t>
  </si>
  <si>
    <t>پایان سال 10</t>
  </si>
  <si>
    <t>پایان سال 11</t>
  </si>
  <si>
    <t>پایان سال 12</t>
  </si>
  <si>
    <t>پایان سال 13</t>
  </si>
  <si>
    <t>پایان سال 14</t>
  </si>
  <si>
    <t>پایان سال 15</t>
  </si>
  <si>
    <t>PVIFa</t>
  </si>
  <si>
    <t>وام اعطائی</t>
  </si>
  <si>
    <t>نرخ بهره ماهانه</t>
  </si>
  <si>
    <t>تعداد ماه های سال</t>
  </si>
  <si>
    <t>تعدا اقساط</t>
  </si>
  <si>
    <t>ارزش فعلی اقساط</t>
  </si>
  <si>
    <t>مبلغ هر قسط</t>
  </si>
  <si>
    <t>RATE</t>
  </si>
  <si>
    <t>Nper</t>
  </si>
  <si>
    <t>PV</t>
  </si>
  <si>
    <t>شماره قسط</t>
  </si>
  <si>
    <t>مانده اقساط</t>
  </si>
  <si>
    <t>کل اصل و فرع وام</t>
  </si>
  <si>
    <t>فرع وام</t>
  </si>
  <si>
    <t>مانده بهره</t>
  </si>
  <si>
    <t>بهره هر قسط</t>
  </si>
  <si>
    <t>خالص هر قسط</t>
  </si>
  <si>
    <t>کاربرگی که حل در آن ارائه شده است .</t>
  </si>
  <si>
    <t>اصول حسابداری 2،3و1</t>
  </si>
  <si>
    <t>حسابداری صنعتی 2،3و1</t>
  </si>
  <si>
    <t>حسابدار ی میانه 1و 2</t>
  </si>
  <si>
    <t xml:space="preserve">حسابداری پیشرفته 1 و 2 </t>
  </si>
  <si>
    <t xml:space="preserve">مباحث جار ی </t>
  </si>
  <si>
    <t>اجاره به شرط تملیک</t>
  </si>
  <si>
    <t xml:space="preserve">مبحث </t>
  </si>
  <si>
    <t>گزارشگری مالی و حسابد اری تغییر قیمت ها</t>
  </si>
  <si>
    <t>فروش ( 1/1 * 000 400 )</t>
  </si>
  <si>
    <t>بهای تمام شد ه کالای فروخته شده : ( Fifo )</t>
  </si>
  <si>
    <t>موجودی کالا اول دور ه ( 2/1 * 000 100 )</t>
  </si>
  <si>
    <t>خرید  ( 1/1 * 000 210 )</t>
  </si>
  <si>
    <t xml:space="preserve">بهای تمام شد ه کالای آماد ه برای فروش </t>
  </si>
  <si>
    <t>موجودی کالا آخر دور ه ( 1/1 * 000 90 )</t>
  </si>
  <si>
    <t>سود ناخالص</t>
  </si>
  <si>
    <t>هزینه های عملیاتی ( 1/1 * 000 68 )</t>
  </si>
  <si>
    <t>هزینه استهلاک ( 1/21 * 000 12 )</t>
  </si>
  <si>
    <t>سود  قبل از مالیات</t>
  </si>
  <si>
    <t>مالیات بر درآمد  ( 1/1 * 000 40 )</t>
  </si>
  <si>
    <t xml:space="preserve">سود قبل از سود ناشی از قدرت خرید </t>
  </si>
  <si>
    <t>سود خالص</t>
  </si>
  <si>
    <t>سود انباشته اول دوره</t>
  </si>
  <si>
    <t>سود سهام پرداختنی ( 1 * 000 20 )</t>
  </si>
  <si>
    <t xml:space="preserve">سود ناشی از قدرت خرید </t>
  </si>
  <si>
    <t>صورت سود و زیان  و سود  انباشته ترکیبی به  ارزش تاریخی مبتنی بر واحد پول د رای قد رت خرید  ثابت برای سال مالی منتهی به 1383/12/29 ( HC/CD )</t>
  </si>
  <si>
    <t xml:space="preserve">بر مبنای واحد  پول دارای قدرت خر ید ثابت </t>
  </si>
  <si>
    <t>عامل تبدیل</t>
  </si>
  <si>
    <t>بر مینای ارزش تاریخی ( واحد اسمی )</t>
  </si>
  <si>
    <t>خالص اقلام پولی اول دوره ( یاد داشت شماره 1 )</t>
  </si>
  <si>
    <t>اضافه می شود : منابع خالص اقلام پولی :</t>
  </si>
  <si>
    <t xml:space="preserve">فروش </t>
  </si>
  <si>
    <t>کسر می شود : مصرف خالص اقلام پولی :</t>
  </si>
  <si>
    <t>مالیات بر درآمد</t>
  </si>
  <si>
    <t>سود سهام پرداختنی</t>
  </si>
  <si>
    <t>جمع خالص اقلام پولی آخر دوره  :</t>
  </si>
  <si>
    <t>بر مبنای ارزش تاریخی - واحد  پولی اسمی ( یادداشت شماره 2 )</t>
  </si>
  <si>
    <t xml:space="preserve">بر مبنای ارزش تاریخی - واحد  پولی دارای قدرت خرید ثابت </t>
  </si>
  <si>
    <t>سود ناشی از قدرت خرید ناشی از نگهداری خالص اقلام پولی ( 18000 - 26600 )</t>
  </si>
  <si>
    <t xml:space="preserve"> ( یاد داشت شماره 1 )</t>
  </si>
  <si>
    <t>خالص اقلام پولی اول دوره :</t>
  </si>
  <si>
    <t>اسناد  پرداختنی بلند مد ت</t>
  </si>
  <si>
    <t xml:space="preserve"> ( یاد داشت شماره 2 )</t>
  </si>
  <si>
    <t>خالص اقلام پولی آخر دوره :</t>
  </si>
  <si>
    <t>ترازنامه شرکت الفبا به  ارزش تاریخی مبتنی بر واحد پول دارای قدرت خرید ثابت در تاریخ  1383/12/29 ( HC/CD )</t>
  </si>
  <si>
    <t>جمع بدهی و حقوق صاحبان سهام</t>
  </si>
  <si>
    <t>ارزش تاریخی</t>
  </si>
  <si>
    <t>ارقام تعدیل شده</t>
  </si>
  <si>
    <t>پولی</t>
  </si>
</sst>
</file>

<file path=xl/styles.xml><?xml version="1.0" encoding="utf-8"?>
<styleSheet xmlns="http://schemas.openxmlformats.org/spreadsheetml/2006/main">
  <numFmts count="55">
    <numFmt numFmtId="5" formatCode="#,##0\ &quot;ريال&quot;;\-#,##0\ &quot;ريال&quot;"/>
    <numFmt numFmtId="6" formatCode="#,##0\ &quot;ريال&quot;;[Red]\-#,##0\ &quot;ريال&quot;"/>
    <numFmt numFmtId="7" formatCode="#,##0.00\ &quot;ريال&quot;;\-#,##0.00\ &quot;ريال&quot;"/>
    <numFmt numFmtId="8" formatCode="#,##0.00\ &quot;ريال&quot;;[Red]\-#,##0.00\ &quot;ريال&quot;"/>
    <numFmt numFmtId="42" formatCode="_-* #,##0\ &quot;ريال&quot;_-;\-* #,##0\ &quot;ريال&quot;_-;_-* &quot;-&quot;\ &quot;ريال&quot;_-;_-@_-"/>
    <numFmt numFmtId="41" formatCode="_-* #,##0\ _ر_ي_ا_ل_-;\-* #,##0\ _ر_ي_ا_ل_-;_-* &quot;-&quot;\ _ر_ي_ا_ل_-;_-@_-"/>
    <numFmt numFmtId="44" formatCode="_-* #,##0.00\ &quot;ريال&quot;_-;\-* #,##0.00\ &quot;ريال&quot;_-;_-* &quot;-&quot;??\ &quot;ريال&quot;_-;_-@_-"/>
    <numFmt numFmtId="43" formatCode="_-* #,##0.00\ _ر_ي_ا_ل_-;\-* #,##0.00\ _ر_ي_ا_ل_-;_-* &quot;-&quot;??\ _ر_ي_ا_ل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ىال&quot;\ #,##0_-;&quot;رىال&quot;\ #,##0\-"/>
    <numFmt numFmtId="173" formatCode="&quot;رىال&quot;\ #,##0_-;[Red]&quot;رىال&quot;\ #,##0\-"/>
    <numFmt numFmtId="174" formatCode="&quot;رىال&quot;\ #,##0.00_-;&quot;رىال&quot;\ #,##0.00\-"/>
    <numFmt numFmtId="175" formatCode="&quot;رىال&quot;\ #,##0.00_-;[Red]&quot;رىال&quot;\ #,##0.00\-"/>
    <numFmt numFmtId="176" formatCode="_-&quot;رىال&quot;\ * #,##0_-;_-&quot;رىال&quot;\ * #,##0\-;_-&quot;رىال&quot;\ * &quot;-&quot;_-;_-@_-"/>
    <numFmt numFmtId="177" formatCode="_-&quot;رىال&quot;\ * #,##0.00_-;_-&quot;رىال&quot;\ * #,##0.00\-;_-&quot;رىال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رىال&quot;\ * #,##0.000_-;_-&quot;رىال&quot;\ * #,##0.000\-;_-&quot;رىال&quot;\ * &quot;-&quot;??_-;_-@_-"/>
    <numFmt numFmtId="187" formatCode="_-&quot;رىال&quot;\ * #,##0.0_-;_-&quot;رىال&quot;\ * #,##0.0\-;_-&quot;رىال&quot;\ * &quot;-&quot;??_-;_-@_-"/>
    <numFmt numFmtId="188" formatCode="_-&quot;رىال&quot;\ * #,##0_-;_-&quot;رىال&quot;\ * #,##0\-;_-&quot;رىال&quot;\ 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ريال&quot;\ #,##0.0_-;[Red]&quot;ريال&quot;\ #,##0.0\-"/>
    <numFmt numFmtId="194" formatCode="#,##0_-"/>
    <numFmt numFmtId="195" formatCode="_(* #,##0.0_);_(* \(#,##0.0\);_(* &quot;-&quot;??_);_(@_)"/>
    <numFmt numFmtId="196" formatCode="_(* #,##0_);_(* \(#,##0\);_(* &quot;-&quot;??_);_(@_)"/>
    <numFmt numFmtId="197" formatCode="&quot;ريال&quot;\ #,##0_-"/>
    <numFmt numFmtId="198" formatCode="#,##0_ ;[Red]\-#,##0\ "/>
    <numFmt numFmtId="199" formatCode="&quot;ريال&quot;\ #,##0.0_-"/>
    <numFmt numFmtId="200" formatCode="#,##0.0_-"/>
    <numFmt numFmtId="201" formatCode="#,##0.00_-"/>
    <numFmt numFmtId="202" formatCode="&quot;ريال&quot;\ #,##0.00_-"/>
    <numFmt numFmtId="203" formatCode="_-* #,##0.0_-;_-* #,##0.0\-;_-* &quot;-&quot;?_-;_-@_-"/>
    <numFmt numFmtId="204" formatCode="0.0000"/>
    <numFmt numFmtId="205" formatCode="0.000"/>
    <numFmt numFmtId="206" formatCode="0.0"/>
    <numFmt numFmtId="207" formatCode="_-* #,##0_-;_-* #,##0\-;_-* &quot;-&quot;??_-;_-@_-"/>
    <numFmt numFmtId="208" formatCode="_-* #,##0.0_-;_-* #,##0.0\-;_-* &quot;-&quot;??_-;_-@_-"/>
    <numFmt numFmtId="209" formatCode="0.000_ ;[Red]\-0.000\ "/>
    <numFmt numFmtId="210" formatCode="0.00000"/>
  </numFmts>
  <fonts count="6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12"/>
      <color indexed="16"/>
      <name val="Arial"/>
      <family val="2"/>
    </font>
    <font>
      <b/>
      <sz val="19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.25"/>
      <name val="Arial"/>
      <family val="0"/>
    </font>
    <font>
      <b/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u val="doubleAccounting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Arial"/>
      <family val="2"/>
    </font>
    <font>
      <b/>
      <i/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name val="Albertus Extra Bold"/>
      <family val="2"/>
    </font>
    <font>
      <sz val="8.5"/>
      <name val="Arial"/>
      <family val="0"/>
    </font>
    <font>
      <i/>
      <sz val="12"/>
      <name val="Arial"/>
      <family val="2"/>
    </font>
    <font>
      <sz val="7.5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56"/>
      <name val="Arial"/>
      <family val="2"/>
    </font>
    <font>
      <b/>
      <i/>
      <u val="single"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i/>
      <sz val="14"/>
      <color indexed="9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double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double"/>
      <top style="thick"/>
      <bottom style="thin"/>
    </border>
    <border>
      <left style="medium"/>
      <right style="thick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thin"/>
      <bottom style="thick"/>
    </border>
    <border>
      <left style="medium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double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double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double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uble">
        <color indexed="53"/>
      </right>
      <top style="double">
        <color indexed="53"/>
      </top>
      <bottom style="thin">
        <color indexed="5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medium"/>
      <top>
        <color indexed="63"/>
      </top>
      <bottom style="slantDashDot">
        <color indexed="8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2" borderId="0" xfId="21" applyFill="1" applyBorder="1">
      <alignment/>
      <protection/>
    </xf>
    <xf numFmtId="0" fontId="0" fillId="2" borderId="1" xfId="21" applyFont="1" applyFill="1" applyBorder="1">
      <alignment/>
      <protection/>
    </xf>
    <xf numFmtId="0" fontId="0" fillId="2" borderId="2" xfId="21" applyFill="1" applyBorder="1">
      <alignment/>
      <protection/>
    </xf>
    <xf numFmtId="3" fontId="0" fillId="2" borderId="3" xfId="21" applyNumberFormat="1" applyFill="1" applyBorder="1">
      <alignment/>
      <protection/>
    </xf>
    <xf numFmtId="0" fontId="0" fillId="2" borderId="4" xfId="21" applyFill="1" applyBorder="1">
      <alignment/>
      <protection/>
    </xf>
    <xf numFmtId="0" fontId="0" fillId="2" borderId="3" xfId="21" applyFill="1" applyBorder="1">
      <alignment/>
      <protection/>
    </xf>
    <xf numFmtId="3" fontId="0" fillId="2" borderId="0" xfId="21" applyNumberFormat="1" applyFill="1" applyBorder="1">
      <alignment/>
      <protection/>
    </xf>
    <xf numFmtId="0" fontId="0" fillId="2" borderId="5" xfId="21" applyFill="1" applyBorder="1">
      <alignment/>
      <protection/>
    </xf>
    <xf numFmtId="0" fontId="0" fillId="2" borderId="6" xfId="21" applyFill="1" applyBorder="1">
      <alignment/>
      <protection/>
    </xf>
    <xf numFmtId="3" fontId="0" fillId="2" borderId="6" xfId="21" applyNumberFormat="1" applyFill="1" applyBorder="1">
      <alignment/>
      <protection/>
    </xf>
    <xf numFmtId="3" fontId="0" fillId="2" borderId="7" xfId="21" applyNumberFormat="1" applyFill="1" applyBorder="1">
      <alignment/>
      <protection/>
    </xf>
    <xf numFmtId="3" fontId="0" fillId="2" borderId="8" xfId="21" applyNumberFormat="1" applyFill="1" applyBorder="1">
      <alignment/>
      <protection/>
    </xf>
    <xf numFmtId="0" fontId="4" fillId="2" borderId="0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5" fillId="2" borderId="5" xfId="21" applyFont="1" applyFill="1" applyBorder="1">
      <alignment/>
      <protection/>
    </xf>
    <xf numFmtId="0" fontId="0" fillId="2" borderId="9" xfId="21" applyFill="1" applyBorder="1">
      <alignment/>
      <protection/>
    </xf>
    <xf numFmtId="0" fontId="0" fillId="2" borderId="10" xfId="21" applyFill="1" applyBorder="1">
      <alignment/>
      <protection/>
    </xf>
    <xf numFmtId="3" fontId="0" fillId="2" borderId="10" xfId="21" applyNumberFormat="1" applyFill="1" applyBorder="1">
      <alignment/>
      <protection/>
    </xf>
    <xf numFmtId="3" fontId="0" fillId="2" borderId="11" xfId="21" applyNumberFormat="1" applyFill="1" applyBorder="1">
      <alignment/>
      <protection/>
    </xf>
    <xf numFmtId="0" fontId="0" fillId="2" borderId="8" xfId="21" applyFill="1" applyBorder="1">
      <alignment/>
      <protection/>
    </xf>
    <xf numFmtId="0" fontId="0" fillId="0" borderId="6" xfId="21" applyBorder="1">
      <alignment/>
      <protection/>
    </xf>
    <xf numFmtId="0" fontId="7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2" xfId="0" applyBorder="1" applyAlignment="1">
      <alignment/>
    </xf>
    <xf numFmtId="194" fontId="5" fillId="3" borderId="12" xfId="0" applyNumberFormat="1" applyFont="1" applyFill="1" applyBorder="1" applyAlignment="1">
      <alignment horizontal="center"/>
    </xf>
    <xf numFmtId="194" fontId="0" fillId="0" borderId="0" xfId="0" applyNumberFormat="1" applyAlignment="1">
      <alignment/>
    </xf>
    <xf numFmtId="194" fontId="10" fillId="3" borderId="12" xfId="0" applyNumberFormat="1" applyFont="1" applyFill="1" applyBorder="1" applyAlignment="1">
      <alignment horizontal="center"/>
    </xf>
    <xf numFmtId="194" fontId="0" fillId="0" borderId="12" xfId="0" applyNumberFormat="1" applyFont="1" applyBorder="1" applyAlignment="1">
      <alignment/>
    </xf>
    <xf numFmtId="194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21" applyFont="1" applyBorder="1">
      <alignment/>
      <protection/>
    </xf>
    <xf numFmtId="3" fontId="0" fillId="0" borderId="12" xfId="21" applyNumberFormat="1" applyFont="1" applyBorder="1">
      <alignment/>
      <protection/>
    </xf>
    <xf numFmtId="0" fontId="0" fillId="0" borderId="0" xfId="21" applyFont="1">
      <alignment/>
      <protection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3" fillId="0" borderId="0" xfId="21" applyFont="1" applyAlignment="1">
      <alignment horizontal="center"/>
      <protection/>
    </xf>
    <xf numFmtId="0" fontId="5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/>
    </xf>
    <xf numFmtId="196" fontId="5" fillId="0" borderId="12" xfId="15" applyNumberFormat="1" applyFont="1" applyFill="1" applyBorder="1" applyAlignment="1">
      <alignment horizontal="center"/>
    </xf>
    <xf numFmtId="196" fontId="0" fillId="0" borderId="12" xfId="15" applyNumberFormat="1" applyFont="1" applyFill="1" applyBorder="1" applyAlignment="1">
      <alignment horizontal="center"/>
    </xf>
    <xf numFmtId="196" fontId="0" fillId="0" borderId="12" xfId="15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197" fontId="0" fillId="2" borderId="18" xfId="0" applyNumberFormat="1" applyFill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4" fontId="0" fillId="0" borderId="22" xfId="0" applyNumberFormat="1" applyFont="1" applyBorder="1" applyAlignment="1">
      <alignment horizontal="center" vertical="center"/>
    </xf>
    <xf numFmtId="194" fontId="0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194" fontId="0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97" fontId="0" fillId="2" borderId="27" xfId="0" applyNumberFormat="1" applyFill="1" applyBorder="1" applyAlignment="1">
      <alignment/>
    </xf>
    <xf numFmtId="197" fontId="0" fillId="0" borderId="27" xfId="0" applyNumberFormat="1" applyBorder="1" applyAlignment="1">
      <alignment/>
    </xf>
    <xf numFmtId="194" fontId="29" fillId="0" borderId="12" xfId="0" applyNumberFormat="1" applyFont="1" applyBorder="1" applyAlignment="1">
      <alignment/>
    </xf>
    <xf numFmtId="16" fontId="0" fillId="2" borderId="19" xfId="0" applyNumberFormat="1" applyFill="1" applyBorder="1" applyAlignment="1">
      <alignment/>
    </xf>
    <xf numFmtId="194" fontId="0" fillId="0" borderId="28" xfId="0" applyNumberFormat="1" applyFont="1" applyBorder="1" applyAlignment="1">
      <alignment horizontal="center" vertical="center"/>
    </xf>
    <xf numFmtId="194" fontId="0" fillId="0" borderId="29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197" fontId="32" fillId="0" borderId="31" xfId="0" applyNumberFormat="1" applyFont="1" applyBorder="1" applyAlignment="1">
      <alignment/>
    </xf>
    <xf numFmtId="197" fontId="32" fillId="0" borderId="32" xfId="0" applyNumberFormat="1" applyFont="1" applyBorder="1" applyAlignment="1">
      <alignment/>
    </xf>
    <xf numFmtId="0" fontId="0" fillId="2" borderId="33" xfId="0" applyFill="1" applyBorder="1" applyAlignment="1">
      <alignment/>
    </xf>
    <xf numFmtId="0" fontId="5" fillId="0" borderId="34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197" fontId="32" fillId="0" borderId="36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97" fontId="0" fillId="0" borderId="40" xfId="0" applyNumberFormat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94" fontId="0" fillId="0" borderId="43" xfId="0" applyNumberFormat="1" applyFont="1" applyBorder="1" applyAlignment="1">
      <alignment horizontal="center" vertical="center"/>
    </xf>
    <xf numFmtId="194" fontId="0" fillId="0" borderId="44" xfId="0" applyNumberFormat="1" applyFont="1" applyBorder="1" applyAlignment="1">
      <alignment horizontal="center" vertical="center"/>
    </xf>
    <xf numFmtId="200" fontId="0" fillId="0" borderId="12" xfId="0" applyNumberFormat="1" applyBorder="1" applyAlignment="1">
      <alignment/>
    </xf>
    <xf numFmtId="200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194" fontId="0" fillId="0" borderId="40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48" xfId="0" applyBorder="1" applyAlignment="1">
      <alignment/>
    </xf>
    <xf numFmtId="194" fontId="0" fillId="0" borderId="47" xfId="0" applyNumberFormat="1" applyFont="1" applyBorder="1" applyAlignment="1">
      <alignment horizontal="center" vertical="center"/>
    </xf>
    <xf numFmtId="0" fontId="0" fillId="2" borderId="49" xfId="0" applyNumberFormat="1" applyFill="1" applyBorder="1" applyAlignment="1">
      <alignment/>
    </xf>
    <xf numFmtId="197" fontId="0" fillId="2" borderId="50" xfId="0" applyNumberFormat="1" applyFill="1" applyBorder="1" applyAlignment="1">
      <alignment/>
    </xf>
    <xf numFmtId="0" fontId="5" fillId="0" borderId="51" xfId="0" applyFont="1" applyBorder="1" applyAlignment="1">
      <alignment horizontal="center"/>
    </xf>
    <xf numFmtId="197" fontId="0" fillId="2" borderId="52" xfId="0" applyNumberFormat="1" applyFill="1" applyBorder="1" applyAlignment="1">
      <alignment/>
    </xf>
    <xf numFmtId="0" fontId="0" fillId="2" borderId="53" xfId="0" applyNumberFormat="1" applyFill="1" applyBorder="1" applyAlignment="1">
      <alignment/>
    </xf>
    <xf numFmtId="0" fontId="5" fillId="0" borderId="12" xfId="0" applyFont="1" applyBorder="1" applyAlignment="1">
      <alignment horizontal="center"/>
    </xf>
    <xf numFmtId="197" fontId="0" fillId="2" borderId="54" xfId="0" applyNumberFormat="1" applyFill="1" applyBorder="1" applyAlignment="1">
      <alignment/>
    </xf>
    <xf numFmtId="197" fontId="0" fillId="2" borderId="55" xfId="0" applyNumberFormat="1" applyFill="1" applyBorder="1" applyAlignment="1">
      <alignment/>
    </xf>
    <xf numFmtId="197" fontId="32" fillId="0" borderId="40" xfId="0" applyNumberFormat="1" applyFont="1" applyBorder="1" applyAlignment="1">
      <alignment/>
    </xf>
    <xf numFmtId="197" fontId="0" fillId="0" borderId="56" xfId="0" applyNumberFormat="1" applyBorder="1" applyAlignment="1">
      <alignment/>
    </xf>
    <xf numFmtId="197" fontId="5" fillId="0" borderId="57" xfId="0" applyNumberFormat="1" applyFont="1" applyBorder="1" applyAlignment="1">
      <alignment/>
    </xf>
    <xf numFmtId="0" fontId="0" fillId="0" borderId="40" xfId="0" applyBorder="1" applyAlignment="1">
      <alignment/>
    </xf>
    <xf numFmtId="0" fontId="5" fillId="0" borderId="45" xfId="0" applyFont="1" applyBorder="1" applyAlignment="1">
      <alignment horizontal="center"/>
    </xf>
    <xf numFmtId="200" fontId="29" fillId="0" borderId="12" xfId="0" applyNumberFormat="1" applyFont="1" applyBorder="1" applyAlignment="1">
      <alignment/>
    </xf>
    <xf numFmtId="200" fontId="29" fillId="0" borderId="45" xfId="0" applyNumberFormat="1" applyFont="1" applyBorder="1" applyAlignment="1">
      <alignment/>
    </xf>
    <xf numFmtId="197" fontId="0" fillId="0" borderId="48" xfId="0" applyNumberFormat="1" applyBorder="1" applyAlignment="1">
      <alignment/>
    </xf>
    <xf numFmtId="0" fontId="0" fillId="2" borderId="58" xfId="0" applyNumberFormat="1" applyFill="1" applyBorder="1" applyAlignment="1">
      <alignment/>
    </xf>
    <xf numFmtId="0" fontId="0" fillId="2" borderId="52" xfId="0" applyNumberFormat="1" applyFill="1" applyBorder="1" applyAlignment="1">
      <alignment/>
    </xf>
    <xf numFmtId="197" fontId="0" fillId="2" borderId="59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57" xfId="0" applyBorder="1" applyAlignment="1">
      <alignment/>
    </xf>
    <xf numFmtId="197" fontId="32" fillId="0" borderId="60" xfId="0" applyNumberFormat="1" applyFont="1" applyBorder="1" applyAlignment="1">
      <alignment/>
    </xf>
    <xf numFmtId="194" fontId="0" fillId="0" borderId="36" xfId="0" applyNumberFormat="1" applyFont="1" applyBorder="1" applyAlignment="1">
      <alignment horizontal="center" vertical="center"/>
    </xf>
    <xf numFmtId="194" fontId="0" fillId="0" borderId="61" xfId="0" applyNumberFormat="1" applyFont="1" applyBorder="1" applyAlignment="1">
      <alignment horizontal="center" vertical="center"/>
    </xf>
    <xf numFmtId="197" fontId="0" fillId="0" borderId="39" xfId="0" applyNumberFormat="1" applyBorder="1" applyAlignment="1">
      <alignment/>
    </xf>
    <xf numFmtId="194" fontId="0" fillId="0" borderId="40" xfId="0" applyNumberFormat="1" applyFont="1" applyBorder="1" applyAlignment="1">
      <alignment/>
    </xf>
    <xf numFmtId="197" fontId="0" fillId="0" borderId="45" xfId="0" applyNumberFormat="1" applyBorder="1" applyAlignment="1">
      <alignment/>
    </xf>
    <xf numFmtId="197" fontId="32" fillId="0" borderId="62" xfId="0" applyNumberFormat="1" applyFont="1" applyBorder="1" applyAlignment="1">
      <alignment/>
    </xf>
    <xf numFmtId="0" fontId="5" fillId="0" borderId="63" xfId="0" applyFont="1" applyBorder="1" applyAlignment="1">
      <alignment horizontal="center"/>
    </xf>
    <xf numFmtId="194" fontId="0" fillId="0" borderId="57" xfId="0" applyNumberFormat="1" applyFont="1" applyBorder="1" applyAlignment="1">
      <alignment horizontal="center" vertical="center"/>
    </xf>
    <xf numFmtId="194" fontId="0" fillId="0" borderId="64" xfId="0" applyNumberFormat="1" applyFont="1" applyBorder="1" applyAlignment="1">
      <alignment horizontal="center" vertical="center"/>
    </xf>
    <xf numFmtId="197" fontId="0" fillId="2" borderId="53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50" xfId="0" applyNumberFormat="1" applyFill="1" applyBorder="1" applyAlignment="1">
      <alignment/>
    </xf>
    <xf numFmtId="197" fontId="0" fillId="2" borderId="65" xfId="0" applyNumberFormat="1" applyFill="1" applyBorder="1" applyAlignment="1">
      <alignment/>
    </xf>
    <xf numFmtId="197" fontId="0" fillId="2" borderId="66" xfId="0" applyNumberFormat="1" applyFill="1" applyBorder="1" applyAlignment="1">
      <alignment/>
    </xf>
    <xf numFmtId="200" fontId="34" fillId="0" borderId="67" xfId="0" applyNumberFormat="1" applyFont="1" applyBorder="1" applyAlignment="1">
      <alignment/>
    </xf>
    <xf numFmtId="199" fontId="34" fillId="0" borderId="67" xfId="0" applyNumberFormat="1" applyFont="1" applyBorder="1" applyAlignment="1">
      <alignment/>
    </xf>
    <xf numFmtId="197" fontId="34" fillId="0" borderId="67" xfId="0" applyNumberFormat="1" applyFont="1" applyBorder="1" applyAlignment="1">
      <alignment/>
    </xf>
    <xf numFmtId="197" fontId="34" fillId="0" borderId="62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28" fillId="2" borderId="0" xfId="0" applyFont="1" applyFill="1" applyBorder="1" applyAlignment="1">
      <alignment horizontal="center"/>
    </xf>
    <xf numFmtId="194" fontId="0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97" fontId="32" fillId="2" borderId="0" xfId="0" applyNumberFormat="1" applyFont="1" applyFill="1" applyBorder="1" applyAlignment="1">
      <alignment/>
    </xf>
    <xf numFmtId="0" fontId="38" fillId="4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0" fillId="0" borderId="8" xfId="21" applyBorder="1">
      <alignment/>
      <protection/>
    </xf>
    <xf numFmtId="0" fontId="0" fillId="0" borderId="3" xfId="21" applyBorder="1">
      <alignment/>
      <protection/>
    </xf>
    <xf numFmtId="0" fontId="0" fillId="0" borderId="2" xfId="21" applyFont="1" applyBorder="1">
      <alignment/>
      <protection/>
    </xf>
    <xf numFmtId="0" fontId="0" fillId="0" borderId="2" xfId="21" applyBorder="1">
      <alignment/>
      <protection/>
    </xf>
    <xf numFmtId="0" fontId="0" fillId="0" borderId="5" xfId="21" applyBorder="1">
      <alignment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0" fillId="0" borderId="10" xfId="21" applyFont="1" applyBorder="1">
      <alignment/>
      <protection/>
    </xf>
    <xf numFmtId="3" fontId="0" fillId="0" borderId="10" xfId="21" applyNumberFormat="1" applyFont="1" applyBorder="1">
      <alignment/>
      <protection/>
    </xf>
    <xf numFmtId="194" fontId="0" fillId="0" borderId="2" xfId="0" applyNumberFormat="1" applyBorder="1" applyAlignment="1">
      <alignment/>
    </xf>
    <xf numFmtId="19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3" borderId="49" xfId="0" applyFont="1" applyFill="1" applyBorder="1" applyAlignment="1">
      <alignment horizontal="center" vertical="center" wrapText="1"/>
    </xf>
    <xf numFmtId="9" fontId="5" fillId="3" borderId="52" xfId="0" applyNumberFormat="1" applyFont="1" applyFill="1" applyBorder="1" applyAlignment="1">
      <alignment horizontal="center" vertical="center" wrapText="1"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0" fontId="0" fillId="2" borderId="70" xfId="0" applyFill="1" applyBorder="1" applyAlignment="1">
      <alignment/>
    </xf>
    <xf numFmtId="0" fontId="0" fillId="2" borderId="71" xfId="0" applyFill="1" applyBorder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0" fillId="2" borderId="75" xfId="0" applyFill="1" applyBorder="1" applyAlignment="1">
      <alignment/>
    </xf>
    <xf numFmtId="0" fontId="0" fillId="2" borderId="7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6" xfId="0" applyFill="1" applyBorder="1" applyAlignment="1">
      <alignment/>
    </xf>
    <xf numFmtId="0" fontId="7" fillId="0" borderId="0" xfId="0" applyFont="1" applyAlignment="1">
      <alignment/>
    </xf>
    <xf numFmtId="0" fontId="4" fillId="3" borderId="12" xfId="0" applyFont="1" applyFill="1" applyBorder="1" applyAlignment="1">
      <alignment vertical="center" wrapText="1"/>
    </xf>
    <xf numFmtId="196" fontId="28" fillId="2" borderId="49" xfId="15" applyNumberFormat="1" applyFont="1" applyFill="1" applyBorder="1" applyAlignment="1">
      <alignment/>
    </xf>
    <xf numFmtId="196" fontId="28" fillId="2" borderId="52" xfId="15" applyNumberFormat="1" applyFont="1" applyFill="1" applyBorder="1" applyAlignment="1">
      <alignment/>
    </xf>
    <xf numFmtId="196" fontId="8" fillId="2" borderId="77" xfId="15" applyNumberFormat="1" applyFont="1" applyFill="1" applyBorder="1" applyAlignment="1">
      <alignment horizontal="center"/>
    </xf>
    <xf numFmtId="196" fontId="8" fillId="2" borderId="78" xfId="15" applyNumberFormat="1" applyFont="1" applyFill="1" applyBorder="1" applyAlignment="1">
      <alignment horizontal="center"/>
    </xf>
    <xf numFmtId="196" fontId="8" fillId="2" borderId="52" xfId="15" applyNumberFormat="1" applyFont="1" applyFill="1" applyBorder="1" applyAlignment="1">
      <alignment horizontal="center"/>
    </xf>
    <xf numFmtId="196" fontId="8" fillId="2" borderId="0" xfId="15" applyNumberFormat="1" applyFont="1" applyFill="1" applyBorder="1" applyAlignment="1">
      <alignment horizontal="center"/>
    </xf>
    <xf numFmtId="196" fontId="8" fillId="2" borderId="79" xfId="15" applyNumberFormat="1" applyFont="1" applyFill="1" applyBorder="1" applyAlignment="1">
      <alignment horizontal="center"/>
    </xf>
    <xf numFmtId="196" fontId="28" fillId="2" borderId="77" xfId="15" applyNumberFormat="1" applyFont="1" applyFill="1" applyBorder="1" applyAlignment="1">
      <alignment/>
    </xf>
    <xf numFmtId="196" fontId="8" fillId="2" borderId="51" xfId="15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2" borderId="75" xfId="0" applyFill="1" applyBorder="1" applyAlignment="1">
      <alignment readingOrder="2"/>
    </xf>
    <xf numFmtId="0" fontId="8" fillId="0" borderId="77" xfId="0" applyFont="1" applyBorder="1" applyAlignment="1">
      <alignment horizontal="right" vertical="top" wrapText="1" readingOrder="2"/>
    </xf>
    <xf numFmtId="0" fontId="7" fillId="2" borderId="52" xfId="0" applyFont="1" applyFill="1" applyBorder="1" applyAlignment="1">
      <alignment horizontal="right" vertical="top" wrapText="1" readingOrder="2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5" fillId="3" borderId="12" xfId="0" applyFont="1" applyFill="1" applyBorder="1" applyAlignment="1">
      <alignment vertical="center"/>
    </xf>
    <xf numFmtId="0" fontId="8" fillId="0" borderId="52" xfId="0" applyFont="1" applyBorder="1" applyAlignment="1">
      <alignment horizontal="right" vertical="top" wrapText="1" readingOrder="2"/>
    </xf>
    <xf numFmtId="0" fontId="8" fillId="0" borderId="80" xfId="0" applyFont="1" applyBorder="1" applyAlignment="1">
      <alignment horizontal="right" vertical="top" wrapText="1" readingOrder="2"/>
    </xf>
    <xf numFmtId="0" fontId="0" fillId="2" borderId="49" xfId="0" applyFill="1" applyBorder="1" applyAlignment="1">
      <alignment/>
    </xf>
    <xf numFmtId="0" fontId="0" fillId="2" borderId="80" xfId="0" applyFill="1" applyBorder="1" applyAlignment="1">
      <alignment/>
    </xf>
    <xf numFmtId="0" fontId="8" fillId="0" borderId="0" xfId="0" applyFont="1" applyBorder="1" applyAlignment="1">
      <alignment horizontal="center" vertical="top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7" fillId="0" borderId="0" xfId="0" applyFont="1" applyBorder="1" applyAlignment="1">
      <alignment horizontal="center" vertical="top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top" wrapText="1" readingOrder="2"/>
    </xf>
    <xf numFmtId="0" fontId="0" fillId="2" borderId="77" xfId="0" applyFill="1" applyBorder="1" applyAlignment="1">
      <alignment/>
    </xf>
    <xf numFmtId="206" fontId="8" fillId="2" borderId="51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top" wrapText="1" readingOrder="2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0" xfId="0" applyBorder="1" applyAlignment="1">
      <alignment/>
    </xf>
    <xf numFmtId="0" fontId="4" fillId="2" borderId="12" xfId="0" applyFont="1" applyFill="1" applyBorder="1" applyAlignment="1">
      <alignment horizontal="center" vertical="top" wrapText="1" readingOrder="2"/>
    </xf>
    <xf numFmtId="0" fontId="7" fillId="2" borderId="0" xfId="0" applyFont="1" applyFill="1" applyBorder="1" applyAlignment="1">
      <alignment horizontal="center" vertical="top" wrapText="1" readingOrder="2"/>
    </xf>
    <xf numFmtId="0" fontId="7" fillId="2" borderId="70" xfId="0" applyFont="1" applyFill="1" applyBorder="1" applyAlignment="1">
      <alignment horizontal="center" vertical="top" wrapText="1" readingOrder="2"/>
    </xf>
    <xf numFmtId="0" fontId="7" fillId="2" borderId="79" xfId="0" applyFont="1" applyFill="1" applyBorder="1" applyAlignment="1">
      <alignment horizontal="center" vertical="top" wrapText="1" readingOrder="2"/>
    </xf>
    <xf numFmtId="0" fontId="7" fillId="2" borderId="7" xfId="0" applyFont="1" applyFill="1" applyBorder="1" applyAlignment="1">
      <alignment horizontal="center" vertical="top" wrapText="1" readingOrder="2"/>
    </xf>
    <xf numFmtId="0" fontId="7" fillId="2" borderId="0" xfId="0" applyFont="1" applyFill="1" applyBorder="1" applyAlignment="1">
      <alignment horizontal="right" vertical="top" wrapText="1" readingOrder="2"/>
    </xf>
    <xf numFmtId="0" fontId="7" fillId="2" borderId="7" xfId="0" applyFont="1" applyFill="1" applyBorder="1" applyAlignment="1">
      <alignment horizontal="right" vertical="top" wrapText="1" readingOrder="2"/>
    </xf>
    <xf numFmtId="0" fontId="7" fillId="2" borderId="71" xfId="0" applyFont="1" applyFill="1" applyBorder="1" applyAlignment="1">
      <alignment horizontal="center" vertical="top" wrapText="1" readingOrder="2"/>
    </xf>
    <xf numFmtId="0" fontId="7" fillId="2" borderId="69" xfId="0" applyFont="1" applyFill="1" applyBorder="1" applyAlignment="1">
      <alignment horizontal="center" vertical="top" wrapText="1" readingOrder="2"/>
    </xf>
    <xf numFmtId="0" fontId="7" fillId="2" borderId="0" xfId="0" applyFont="1" applyFill="1" applyBorder="1" applyAlignment="1">
      <alignment vertical="top" wrapText="1" readingOrder="2"/>
    </xf>
    <xf numFmtId="0" fontId="7" fillId="2" borderId="81" xfId="0" applyFont="1" applyFill="1" applyBorder="1" applyAlignment="1">
      <alignment horizontal="center" vertical="top" wrapText="1" readingOrder="2"/>
    </xf>
    <xf numFmtId="0" fontId="0" fillId="0" borderId="74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1" xfId="0" applyBorder="1" applyAlignment="1">
      <alignment/>
    </xf>
    <xf numFmtId="0" fontId="0" fillId="2" borderId="79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5" fillId="2" borderId="7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82" xfId="0" applyFill="1" applyBorder="1" applyAlignment="1">
      <alignment/>
    </xf>
    <xf numFmtId="0" fontId="0" fillId="2" borderId="83" xfId="0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right"/>
    </xf>
    <xf numFmtId="207" fontId="0" fillId="0" borderId="12" xfId="15" applyNumberFormat="1" applyBorder="1" applyAlignment="1">
      <alignment/>
    </xf>
    <xf numFmtId="0" fontId="0" fillId="0" borderId="49" xfId="0" applyFill="1" applyBorder="1" applyAlignment="1">
      <alignment horizontal="right"/>
    </xf>
    <xf numFmtId="207" fontId="0" fillId="0" borderId="52" xfId="15" applyNumberFormat="1" applyFill="1" applyBorder="1" applyAlignment="1">
      <alignment/>
    </xf>
    <xf numFmtId="0" fontId="0" fillId="3" borderId="12" xfId="0" applyFill="1" applyBorder="1" applyAlignment="1">
      <alignment/>
    </xf>
    <xf numFmtId="207" fontId="0" fillId="3" borderId="77" xfId="15" applyNumberForma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72" xfId="0" applyFont="1" applyFill="1" applyBorder="1" applyAlignment="1">
      <alignment/>
    </xf>
    <xf numFmtId="0" fontId="0" fillId="2" borderId="5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3" borderId="84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7" xfId="0" applyBorder="1" applyAlignment="1">
      <alignment/>
    </xf>
    <xf numFmtId="0" fontId="0" fillId="0" borderId="12" xfId="0" applyFill="1" applyBorder="1" applyAlignment="1">
      <alignment/>
    </xf>
    <xf numFmtId="0" fontId="5" fillId="0" borderId="77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3" borderId="74" xfId="0" applyFont="1" applyFill="1" applyBorder="1" applyAlignment="1">
      <alignment/>
    </xf>
    <xf numFmtId="0" fontId="32" fillId="3" borderId="68" xfId="0" applyFont="1" applyFill="1" applyBorder="1" applyAlignment="1">
      <alignment/>
    </xf>
    <xf numFmtId="0" fontId="0" fillId="3" borderId="68" xfId="0" applyFill="1" applyBorder="1" applyAlignment="1">
      <alignment/>
    </xf>
    <xf numFmtId="9" fontId="32" fillId="3" borderId="68" xfId="0" applyNumberFormat="1" applyFont="1" applyFill="1" applyBorder="1" applyAlignment="1">
      <alignment horizontal="center"/>
    </xf>
    <xf numFmtId="9" fontId="32" fillId="3" borderId="69" xfId="0" applyNumberFormat="1" applyFont="1" applyFill="1" applyBorder="1" applyAlignment="1">
      <alignment horizontal="center"/>
    </xf>
    <xf numFmtId="0" fontId="44" fillId="3" borderId="75" xfId="0" applyFont="1" applyFill="1" applyBorder="1" applyAlignment="1">
      <alignment/>
    </xf>
    <xf numFmtId="0" fontId="4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4" fillId="3" borderId="0" xfId="0" applyFont="1" applyFill="1" applyBorder="1" applyAlignment="1">
      <alignment horizontal="center"/>
    </xf>
    <xf numFmtId="0" fontId="44" fillId="3" borderId="70" xfId="0" applyFont="1" applyFill="1" applyBorder="1" applyAlignment="1">
      <alignment horizontal="center"/>
    </xf>
    <xf numFmtId="0" fontId="44" fillId="3" borderId="76" xfId="0" applyFont="1" applyFill="1" applyBorder="1" applyAlignment="1">
      <alignment/>
    </xf>
    <xf numFmtId="0" fontId="44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44" fillId="3" borderId="7" xfId="0" applyFont="1" applyFill="1" applyBorder="1" applyAlignment="1">
      <alignment horizontal="center"/>
    </xf>
    <xf numFmtId="0" fontId="44" fillId="3" borderId="71" xfId="0" applyFont="1" applyFill="1" applyBorder="1" applyAlignment="1">
      <alignment horizontal="center"/>
    </xf>
    <xf numFmtId="9" fontId="0" fillId="3" borderId="76" xfId="0" applyNumberFormat="1" applyFill="1" applyBorder="1" applyAlignment="1">
      <alignment/>
    </xf>
    <xf numFmtId="9" fontId="0" fillId="3" borderId="71" xfId="0" applyNumberFormat="1" applyFill="1" applyBorder="1" applyAlignment="1">
      <alignment/>
    </xf>
    <xf numFmtId="0" fontId="0" fillId="2" borderId="81" xfId="0" applyFill="1" applyBorder="1" applyAlignment="1">
      <alignment/>
    </xf>
    <xf numFmtId="0" fontId="46" fillId="2" borderId="85" xfId="0" applyFont="1" applyFill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6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32" fillId="3" borderId="69" xfId="0" applyFont="1" applyFill="1" applyBorder="1" applyAlignment="1">
      <alignment/>
    </xf>
    <xf numFmtId="0" fontId="44" fillId="3" borderId="71" xfId="0" applyFont="1" applyFill="1" applyBorder="1" applyAlignment="1">
      <alignment/>
    </xf>
    <xf numFmtId="0" fontId="5" fillId="2" borderId="49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49" fillId="2" borderId="87" xfId="0" applyFont="1" applyFill="1" applyBorder="1" applyAlignment="1">
      <alignment horizontal="center"/>
    </xf>
    <xf numFmtId="0" fontId="49" fillId="2" borderId="24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0" fillId="2" borderId="49" xfId="0" applyFont="1" applyFill="1" applyBorder="1" applyAlignment="1">
      <alignment/>
    </xf>
    <xf numFmtId="0" fontId="51" fillId="2" borderId="88" xfId="0" applyFont="1" applyFill="1" applyBorder="1" applyAlignment="1">
      <alignment/>
    </xf>
    <xf numFmtId="0" fontId="51" fillId="2" borderId="89" xfId="0" applyFont="1" applyFill="1" applyBorder="1" applyAlignment="1">
      <alignment/>
    </xf>
    <xf numFmtId="0" fontId="50" fillId="2" borderId="69" xfId="0" applyFont="1" applyFill="1" applyBorder="1" applyAlignment="1">
      <alignment/>
    </xf>
    <xf numFmtId="0" fontId="50" fillId="2" borderId="52" xfId="0" applyFont="1" applyFill="1" applyBorder="1" applyAlignment="1">
      <alignment/>
    </xf>
    <xf numFmtId="0" fontId="50" fillId="2" borderId="70" xfId="0" applyFont="1" applyFill="1" applyBorder="1" applyAlignment="1">
      <alignment/>
    </xf>
    <xf numFmtId="0" fontId="51" fillId="2" borderId="6" xfId="0" applyFont="1" applyFill="1" applyBorder="1" applyAlignment="1">
      <alignment/>
    </xf>
    <xf numFmtId="0" fontId="0" fillId="2" borderId="78" xfId="0" applyFill="1" applyBorder="1" applyAlignment="1">
      <alignment/>
    </xf>
    <xf numFmtId="0" fontId="51" fillId="2" borderId="90" xfId="0" applyFont="1" applyFill="1" applyBorder="1" applyAlignment="1">
      <alignment/>
    </xf>
    <xf numFmtId="0" fontId="51" fillId="2" borderId="83" xfId="0" applyFont="1" applyFill="1" applyBorder="1" applyAlignment="1">
      <alignment/>
    </xf>
    <xf numFmtId="0" fontId="52" fillId="2" borderId="70" xfId="0" applyFont="1" applyFill="1" applyBorder="1" applyAlignment="1">
      <alignment/>
    </xf>
    <xf numFmtId="0" fontId="5" fillId="3" borderId="77" xfId="0" applyFont="1" applyFill="1" applyBorder="1" applyAlignment="1">
      <alignment horizontal="center"/>
    </xf>
    <xf numFmtId="0" fontId="5" fillId="3" borderId="78" xfId="0" applyFont="1" applyFill="1" applyBorder="1" applyAlignment="1">
      <alignment horizontal="center"/>
    </xf>
    <xf numFmtId="1" fontId="49" fillId="2" borderId="91" xfId="0" applyNumberFormat="1" applyFont="1" applyFill="1" applyBorder="1" applyAlignment="1">
      <alignment horizontal="center"/>
    </xf>
    <xf numFmtId="1" fontId="49" fillId="2" borderId="92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6" xfId="0" applyFont="1" applyBorder="1" applyAlignment="1">
      <alignment horizontal="center"/>
    </xf>
    <xf numFmtId="207" fontId="0" fillId="0" borderId="0" xfId="0" applyNumberFormat="1" applyBorder="1" applyAlignment="1">
      <alignment/>
    </xf>
    <xf numFmtId="207" fontId="0" fillId="0" borderId="6" xfId="0" applyNumberFormat="1" applyBorder="1" applyAlignment="1">
      <alignment/>
    </xf>
    <xf numFmtId="207" fontId="5" fillId="0" borderId="0" xfId="0" applyNumberFormat="1" applyFont="1" applyBorder="1" applyAlignment="1">
      <alignment horizontal="center"/>
    </xf>
    <xf numFmtId="207" fontId="5" fillId="0" borderId="6" xfId="0" applyNumberFormat="1" applyFont="1" applyBorder="1" applyAlignment="1">
      <alignment horizontal="center"/>
    </xf>
    <xf numFmtId="10" fontId="0" fillId="0" borderId="12" xfId="0" applyNumberFormat="1" applyBorder="1" applyAlignment="1">
      <alignment/>
    </xf>
    <xf numFmtId="0" fontId="0" fillId="3" borderId="77" xfId="0" applyFill="1" applyBorder="1" applyAlignment="1">
      <alignment/>
    </xf>
    <xf numFmtId="0" fontId="0" fillId="0" borderId="0" xfId="0" applyBorder="1" applyAlignment="1">
      <alignment horizontal="right"/>
    </xf>
    <xf numFmtId="196" fontId="0" fillId="2" borderId="49" xfId="15" applyNumberFormat="1" applyFill="1" applyBorder="1" applyAlignment="1">
      <alignment/>
    </xf>
    <xf numFmtId="196" fontId="0" fillId="2" borderId="52" xfId="15" applyNumberFormat="1" applyFill="1" applyBorder="1" applyAlignment="1">
      <alignment/>
    </xf>
    <xf numFmtId="196" fontId="0" fillId="2" borderId="51" xfId="15" applyNumberFormat="1" applyFill="1" applyBorder="1" applyAlignment="1">
      <alignment/>
    </xf>
    <xf numFmtId="196" fontId="5" fillId="2" borderId="52" xfId="15" applyNumberFormat="1" applyFont="1" applyFill="1" applyBorder="1" applyAlignment="1">
      <alignment/>
    </xf>
    <xf numFmtId="196" fontId="5" fillId="2" borderId="12" xfId="15" applyNumberFormat="1" applyFont="1" applyFill="1" applyBorder="1" applyAlignment="1">
      <alignment/>
    </xf>
    <xf numFmtId="196" fontId="53" fillId="2" borderId="77" xfId="15" applyNumberFormat="1" applyFont="1" applyFill="1" applyBorder="1" applyAlignment="1">
      <alignment/>
    </xf>
    <xf numFmtId="0" fontId="8" fillId="0" borderId="0" xfId="0" applyFont="1" applyBorder="1" applyAlignment="1">
      <alignment horizontal="right" vertical="top" wrapText="1" readingOrder="2"/>
    </xf>
    <xf numFmtId="0" fontId="28" fillId="0" borderId="0" xfId="0" applyFont="1" applyBorder="1" applyAlignment="1">
      <alignment horizontal="right" vertical="top" wrapText="1" readingOrder="2"/>
    </xf>
    <xf numFmtId="0" fontId="54" fillId="0" borderId="0" xfId="0" applyFont="1" applyBorder="1" applyAlignment="1">
      <alignment horizontal="right" vertical="top" wrapText="1" readingOrder="2"/>
    </xf>
    <xf numFmtId="0" fontId="7" fillId="2" borderId="68" xfId="0" applyFont="1" applyFill="1" applyBorder="1" applyAlignment="1">
      <alignment horizontal="center" vertical="top" wrapText="1" readingOrder="2"/>
    </xf>
    <xf numFmtId="0" fontId="7" fillId="2" borderId="93" xfId="0" applyFont="1" applyFill="1" applyBorder="1" applyAlignment="1">
      <alignment horizontal="center" vertical="top" wrapText="1" readingOrder="2"/>
    </xf>
    <xf numFmtId="0" fontId="7" fillId="2" borderId="10" xfId="0" applyFont="1" applyFill="1" applyBorder="1" applyAlignment="1">
      <alignment horizontal="center" vertical="top" wrapText="1" readingOrder="2"/>
    </xf>
    <xf numFmtId="0" fontId="21" fillId="2" borderId="12" xfId="0" applyFont="1" applyFill="1" applyBorder="1" applyAlignment="1">
      <alignment horizontal="right" vertical="top" wrapText="1" readingOrder="2"/>
    </xf>
    <xf numFmtId="0" fontId="28" fillId="2" borderId="0" xfId="0" applyFont="1" applyFill="1" applyBorder="1" applyAlignment="1">
      <alignment horizontal="right" vertical="top" wrapText="1" readingOrder="2"/>
    </xf>
    <xf numFmtId="0" fontId="28" fillId="2" borderId="70" xfId="0" applyFont="1" applyFill="1" applyBorder="1" applyAlignment="1">
      <alignment horizontal="right" vertical="top" wrapText="1" readingOrder="2"/>
    </xf>
    <xf numFmtId="0" fontId="28" fillId="2" borderId="7" xfId="0" applyFont="1" applyFill="1" applyBorder="1" applyAlignment="1">
      <alignment horizontal="right" vertical="top" wrapText="1" readingOrder="2"/>
    </xf>
    <xf numFmtId="0" fontId="28" fillId="2" borderId="71" xfId="0" applyFont="1" applyFill="1" applyBorder="1" applyAlignment="1">
      <alignment horizontal="right" vertical="top" wrapText="1" readingOrder="2"/>
    </xf>
    <xf numFmtId="0" fontId="54" fillId="2" borderId="0" xfId="0" applyFont="1" applyFill="1" applyBorder="1" applyAlignment="1">
      <alignment horizontal="right" vertical="top" wrapText="1" readingOrder="2"/>
    </xf>
    <xf numFmtId="0" fontId="54" fillId="2" borderId="70" xfId="0" applyFont="1" applyFill="1" applyBorder="1" applyAlignment="1">
      <alignment horizontal="right" vertical="top" wrapText="1" readingOrder="2"/>
    </xf>
    <xf numFmtId="0" fontId="54" fillId="2" borderId="7" xfId="0" applyFont="1" applyFill="1" applyBorder="1" applyAlignment="1">
      <alignment horizontal="right" vertical="top" wrapText="1" readingOrder="2"/>
    </xf>
    <xf numFmtId="0" fontId="54" fillId="2" borderId="71" xfId="0" applyFont="1" applyFill="1" applyBorder="1" applyAlignment="1">
      <alignment horizontal="right" vertical="top" wrapText="1" readingOrder="2"/>
    </xf>
    <xf numFmtId="0" fontId="8" fillId="2" borderId="13" xfId="0" applyFont="1" applyFill="1" applyBorder="1" applyAlignment="1">
      <alignment horizontal="right" vertical="top" wrapText="1" readingOrder="2"/>
    </xf>
    <xf numFmtId="0" fontId="8" fillId="2" borderId="79" xfId="0" applyFont="1" applyFill="1" applyBorder="1" applyAlignment="1">
      <alignment horizontal="right" vertical="top" wrapText="1" readingOrder="2"/>
    </xf>
    <xf numFmtId="0" fontId="8" fillId="2" borderId="0" xfId="0" applyFont="1" applyFill="1" applyBorder="1" applyAlignment="1">
      <alignment horizontal="right" vertical="top" wrapText="1" readingOrder="2"/>
    </xf>
    <xf numFmtId="0" fontId="8" fillId="2" borderId="70" xfId="0" applyFont="1" applyFill="1" applyBorder="1" applyAlignment="1">
      <alignment horizontal="right" vertical="top" wrapText="1" readingOrder="2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right" vertical="top" wrapText="1" readingOrder="2"/>
    </xf>
    <xf numFmtId="0" fontId="8" fillId="0" borderId="0" xfId="0" applyFont="1" applyFill="1" applyBorder="1" applyAlignment="1">
      <alignment horizontal="right" vertical="top" wrapText="1" readingOrder="2"/>
    </xf>
    <xf numFmtId="0" fontId="8" fillId="0" borderId="0" xfId="0" applyFont="1" applyFill="1" applyBorder="1" applyAlignment="1">
      <alignment horizontal="center" vertical="top" wrapText="1" readingOrder="2"/>
    </xf>
    <xf numFmtId="0" fontId="55" fillId="0" borderId="0" xfId="0" applyFont="1" applyFill="1" applyBorder="1" applyAlignment="1">
      <alignment horizontal="center" vertical="top" wrapText="1" readingOrder="2"/>
    </xf>
    <xf numFmtId="0" fontId="5" fillId="2" borderId="70" xfId="0" applyFont="1" applyFill="1" applyBorder="1" applyAlignment="1">
      <alignment/>
    </xf>
    <xf numFmtId="0" fontId="5" fillId="2" borderId="71" xfId="0" applyFont="1" applyFill="1" applyBorder="1" applyAlignment="1">
      <alignment/>
    </xf>
    <xf numFmtId="0" fontId="5" fillId="2" borderId="7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8" xfId="0" applyBorder="1" applyAlignment="1">
      <alignment/>
    </xf>
    <xf numFmtId="0" fontId="0" fillId="0" borderId="12" xfId="0" applyFont="1" applyBorder="1" applyAlignment="1">
      <alignment horizontal="center" vertical="top" wrapText="1" readingOrder="2"/>
    </xf>
    <xf numFmtId="0" fontId="0" fillId="0" borderId="12" xfId="0" applyFont="1" applyBorder="1" applyAlignment="1">
      <alignment horizontal="right" vertical="top" wrapText="1" readingOrder="2"/>
    </xf>
    <xf numFmtId="0" fontId="0" fillId="0" borderId="0" xfId="0" applyFont="1" applyBorder="1" applyAlignment="1">
      <alignment horizontal="center" vertical="top" wrapText="1" readingOrder="2"/>
    </xf>
    <xf numFmtId="0" fontId="0" fillId="0" borderId="0" xfId="0" applyFont="1" applyBorder="1" applyAlignment="1">
      <alignment horizontal="right" vertical="top" wrapText="1" readingOrder="2"/>
    </xf>
    <xf numFmtId="0" fontId="7" fillId="0" borderId="12" xfId="0" applyFont="1" applyBorder="1" applyAlignment="1">
      <alignment horizontal="right" vertical="top" wrapText="1" readingOrder="2"/>
    </xf>
    <xf numFmtId="207" fontId="0" fillId="0" borderId="12" xfId="0" applyNumberFormat="1" applyBorder="1" applyAlignment="1">
      <alignment horizontal="right"/>
    </xf>
    <xf numFmtId="0" fontId="26" fillId="4" borderId="12" xfId="0" applyFont="1" applyFill="1" applyBorder="1" applyAlignment="1">
      <alignment horizontal="right" vertical="top" wrapText="1" readingOrder="2"/>
    </xf>
    <xf numFmtId="0" fontId="58" fillId="4" borderId="12" xfId="0" applyFont="1" applyFill="1" applyBorder="1" applyAlignment="1">
      <alignment/>
    </xf>
    <xf numFmtId="0" fontId="59" fillId="4" borderId="12" xfId="0" applyFont="1" applyFill="1" applyBorder="1" applyAlignment="1">
      <alignment horizontal="center" vertical="top" wrapText="1" readingOrder="2"/>
    </xf>
    <xf numFmtId="0" fontId="59" fillId="4" borderId="12" xfId="0" applyFont="1" applyFill="1" applyBorder="1" applyAlignment="1">
      <alignment horizontal="right" vertical="top" wrapText="1" readingOrder="2"/>
    </xf>
    <xf numFmtId="196" fontId="0" fillId="0" borderId="12" xfId="15" applyNumberFormat="1" applyBorder="1" applyAlignment="1">
      <alignment/>
    </xf>
    <xf numFmtId="196" fontId="0" fillId="0" borderId="12" xfId="0" applyNumberFormat="1" applyBorder="1" applyAlignment="1">
      <alignment/>
    </xf>
    <xf numFmtId="0" fontId="60" fillId="0" borderId="0" xfId="0" applyFont="1" applyFill="1" applyBorder="1" applyAlignment="1">
      <alignment horizontal="center" vertical="top" wrapText="1" readingOrder="2"/>
    </xf>
    <xf numFmtId="0" fontId="5" fillId="3" borderId="84" xfId="0" applyFont="1" applyFill="1" applyBorder="1" applyAlignment="1">
      <alignment/>
    </xf>
    <xf numFmtId="0" fontId="0" fillId="0" borderId="84" xfId="0" applyBorder="1" applyAlignment="1">
      <alignment/>
    </xf>
    <xf numFmtId="0" fontId="5" fillId="0" borderId="84" xfId="0" applyFont="1" applyBorder="1" applyAlignment="1">
      <alignment/>
    </xf>
    <xf numFmtId="1" fontId="0" fillId="0" borderId="12" xfId="15" applyNumberFormat="1" applyBorder="1" applyAlignment="1">
      <alignment horizontal="center"/>
    </xf>
    <xf numFmtId="0" fontId="8" fillId="3" borderId="84" xfId="0" applyFont="1" applyFill="1" applyBorder="1" applyAlignment="1">
      <alignment horizontal="center" vertical="top" wrapText="1" readingOrder="2"/>
    </xf>
    <xf numFmtId="0" fontId="0" fillId="2" borderId="94" xfId="0" applyFill="1" applyBorder="1" applyAlignment="1">
      <alignment/>
    </xf>
    <xf numFmtId="0" fontId="4" fillId="2" borderId="93" xfId="0" applyFont="1" applyFill="1" applyBorder="1" applyAlignment="1">
      <alignment horizontal="center" vertical="top" wrapText="1" readingOrder="2"/>
    </xf>
    <xf numFmtId="0" fontId="4" fillId="2" borderId="70" xfId="0" applyFont="1" applyFill="1" applyBorder="1" applyAlignment="1">
      <alignment horizontal="center" vertical="top" wrapText="1" readingOrder="2"/>
    </xf>
    <xf numFmtId="0" fontId="62" fillId="2" borderId="69" xfId="0" applyFont="1" applyFill="1" applyBorder="1" applyAlignment="1">
      <alignment horizontal="center" vertical="top" wrapText="1" readingOrder="2"/>
    </xf>
    <xf numFmtId="0" fontId="63" fillId="2" borderId="0" xfId="0" applyFont="1" applyFill="1" applyBorder="1" applyAlignment="1">
      <alignment horizontal="center" vertical="top" wrapText="1" readingOrder="2"/>
    </xf>
    <xf numFmtId="0" fontId="63" fillId="2" borderId="10" xfId="0" applyFont="1" applyFill="1" applyBorder="1" applyAlignment="1">
      <alignment horizontal="center" vertical="top" wrapText="1" readingOrder="2"/>
    </xf>
    <xf numFmtId="0" fontId="63" fillId="2" borderId="70" xfId="0" applyFont="1" applyFill="1" applyBorder="1" applyAlignment="1">
      <alignment horizontal="center" vertical="top" wrapText="1" readingOrder="2"/>
    </xf>
    <xf numFmtId="0" fontId="0" fillId="2" borderId="0" xfId="21" applyFill="1" applyBorder="1" applyAlignment="1">
      <alignment horizontal="center"/>
      <protection/>
    </xf>
    <xf numFmtId="0" fontId="7" fillId="2" borderId="13" xfId="0" applyFont="1" applyFill="1" applyBorder="1" applyAlignment="1">
      <alignment horizontal="center" vertical="top" wrapText="1" readingOrder="2"/>
    </xf>
    <xf numFmtId="0" fontId="5" fillId="0" borderId="12" xfId="21" applyFont="1" applyBorder="1">
      <alignment/>
      <protection/>
    </xf>
    <xf numFmtId="0" fontId="0" fillId="2" borderId="13" xfId="21" applyFill="1" applyBorder="1">
      <alignment/>
      <protection/>
    </xf>
    <xf numFmtId="0" fontId="0" fillId="2" borderId="74" xfId="21" applyFont="1" applyFill="1" applyBorder="1">
      <alignment/>
      <protection/>
    </xf>
    <xf numFmtId="0" fontId="0" fillId="2" borderId="68" xfId="21" applyFill="1" applyBorder="1">
      <alignment/>
      <protection/>
    </xf>
    <xf numFmtId="0" fontId="0" fillId="2" borderId="69" xfId="21" applyFill="1" applyBorder="1">
      <alignment/>
      <protection/>
    </xf>
    <xf numFmtId="0" fontId="0" fillId="2" borderId="75" xfId="21" applyFill="1" applyBorder="1">
      <alignment/>
      <protection/>
    </xf>
    <xf numFmtId="0" fontId="0" fillId="2" borderId="70" xfId="21" applyFill="1" applyBorder="1">
      <alignment/>
      <protection/>
    </xf>
    <xf numFmtId="0" fontId="0" fillId="2" borderId="76" xfId="21" applyFill="1" applyBorder="1">
      <alignment/>
      <protection/>
    </xf>
    <xf numFmtId="0" fontId="0" fillId="2" borderId="7" xfId="21" applyFill="1" applyBorder="1">
      <alignment/>
      <protection/>
    </xf>
    <xf numFmtId="0" fontId="0" fillId="2" borderId="72" xfId="21" applyFill="1" applyBorder="1">
      <alignment/>
      <protection/>
    </xf>
    <xf numFmtId="0" fontId="0" fillId="2" borderId="73" xfId="21" applyFill="1" applyBorder="1">
      <alignment/>
      <protection/>
    </xf>
    <xf numFmtId="0" fontId="0" fillId="2" borderId="7" xfId="21" applyFill="1" applyBorder="1" applyAlignment="1">
      <alignment horizontal="center"/>
      <protection/>
    </xf>
    <xf numFmtId="0" fontId="0" fillId="2" borderId="74" xfId="21" applyFill="1" applyBorder="1">
      <alignment/>
      <protection/>
    </xf>
    <xf numFmtId="0" fontId="0" fillId="2" borderId="72" xfId="21" applyFill="1" applyBorder="1" applyAlignment="1">
      <alignment horizontal="center"/>
      <protection/>
    </xf>
    <xf numFmtId="0" fontId="0" fillId="2" borderId="73" xfId="21" applyFont="1" applyFill="1" applyBorder="1" applyAlignment="1">
      <alignment horizontal="center"/>
      <protection/>
    </xf>
    <xf numFmtId="0" fontId="0" fillId="2" borderId="75" xfId="21" applyFont="1" applyFill="1" applyBorder="1">
      <alignment/>
      <protection/>
    </xf>
    <xf numFmtId="0" fontId="0" fillId="2" borderId="76" xfId="21" applyFont="1" applyFill="1" applyBorder="1">
      <alignment/>
      <protection/>
    </xf>
    <xf numFmtId="0" fontId="0" fillId="2" borderId="70" xfId="21" applyFill="1" applyBorder="1" applyAlignment="1">
      <alignment horizontal="center"/>
      <protection/>
    </xf>
    <xf numFmtId="0" fontId="0" fillId="2" borderId="71" xfId="21" applyFill="1" applyBorder="1" applyAlignment="1">
      <alignment horizontal="center"/>
      <protection/>
    </xf>
    <xf numFmtId="0" fontId="0" fillId="2" borderId="73" xfId="21" applyFill="1" applyBorder="1" applyAlignment="1">
      <alignment horizontal="center"/>
      <protection/>
    </xf>
    <xf numFmtId="0" fontId="0" fillId="2" borderId="79" xfId="21" applyFill="1" applyBorder="1">
      <alignment/>
      <protection/>
    </xf>
    <xf numFmtId="0" fontId="0" fillId="2" borderId="71" xfId="21" applyFill="1" applyBorder="1">
      <alignment/>
      <protection/>
    </xf>
    <xf numFmtId="0" fontId="0" fillId="0" borderId="4" xfId="21" applyBorder="1">
      <alignment/>
      <protection/>
    </xf>
    <xf numFmtId="0" fontId="62" fillId="2" borderId="95" xfId="0" applyFont="1" applyFill="1" applyBorder="1" applyAlignment="1">
      <alignment horizontal="center" vertical="top" wrapText="1" readingOrder="2"/>
    </xf>
    <xf numFmtId="0" fontId="28" fillId="0" borderId="12" xfId="0" applyFont="1" applyBorder="1" applyAlignment="1">
      <alignment horizontal="right" vertical="top" wrapText="1" readingOrder="2"/>
    </xf>
    <xf numFmtId="0" fontId="28" fillId="0" borderId="12" xfId="0" applyFont="1" applyBorder="1" applyAlignment="1">
      <alignment horizontal="center" vertical="top" wrapText="1" readingOrder="2"/>
    </xf>
    <xf numFmtId="1" fontId="0" fillId="0" borderId="12" xfId="0" applyNumberFormat="1" applyBorder="1" applyAlignment="1">
      <alignment horizontal="center"/>
    </xf>
    <xf numFmtId="16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/>
    </xf>
    <xf numFmtId="16" fontId="0" fillId="0" borderId="49" xfId="0" applyNumberFormat="1" applyBorder="1" applyAlignment="1">
      <alignment/>
    </xf>
    <xf numFmtId="196" fontId="0" fillId="0" borderId="49" xfId="15" applyNumberFormat="1" applyBorder="1" applyAlignment="1">
      <alignment/>
    </xf>
    <xf numFmtId="9" fontId="0" fillId="0" borderId="49" xfId="0" applyNumberFormat="1" applyBorder="1" applyAlignment="1">
      <alignment horizontal="center"/>
    </xf>
    <xf numFmtId="19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96" fontId="0" fillId="0" borderId="10" xfId="0" applyNumberFormat="1" applyBorder="1" applyAlignment="1">
      <alignment/>
    </xf>
    <xf numFmtId="209" fontId="0" fillId="0" borderId="84" xfId="0" applyNumberFormat="1" applyBorder="1" applyAlignment="1">
      <alignment/>
    </xf>
    <xf numFmtId="0" fontId="0" fillId="0" borderId="6" xfId="0" applyBorder="1" applyAlignment="1">
      <alignment/>
    </xf>
    <xf numFmtId="207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96" fontId="0" fillId="0" borderId="84" xfId="0" applyNumberFormat="1" applyBorder="1" applyAlignment="1">
      <alignment/>
    </xf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196" fontId="0" fillId="0" borderId="6" xfId="15" applyNumberFormat="1" applyBorder="1" applyAlignment="1">
      <alignment/>
    </xf>
    <xf numFmtId="0" fontId="4" fillId="2" borderId="4" xfId="21" applyFont="1" applyFill="1" applyBorder="1">
      <alignment/>
      <protection/>
    </xf>
    <xf numFmtId="3" fontId="0" fillId="2" borderId="96" xfId="21" applyNumberFormat="1" applyFill="1" applyBorder="1">
      <alignment/>
      <protection/>
    </xf>
    <xf numFmtId="0" fontId="4" fillId="2" borderId="5" xfId="21" applyFont="1" applyFill="1" applyBorder="1">
      <alignment/>
      <protection/>
    </xf>
    <xf numFmtId="3" fontId="5" fillId="2" borderId="83" xfId="21" applyNumberFormat="1" applyFont="1" applyFill="1" applyBorder="1">
      <alignment/>
      <protection/>
    </xf>
    <xf numFmtId="0" fontId="66" fillId="5" borderId="97" xfId="0" applyFont="1" applyFill="1" applyBorder="1" applyAlignment="1">
      <alignment horizontal="center"/>
    </xf>
    <xf numFmtId="0" fontId="67" fillId="5" borderId="97" xfId="0" applyFont="1" applyFill="1" applyBorder="1" applyAlignment="1">
      <alignment horizontal="center"/>
    </xf>
    <xf numFmtId="0" fontId="67" fillId="5" borderId="98" xfId="0" applyFont="1" applyFill="1" applyBorder="1" applyAlignment="1">
      <alignment horizontal="center"/>
    </xf>
    <xf numFmtId="0" fontId="65" fillId="6" borderId="97" xfId="0" applyFont="1" applyFill="1" applyBorder="1" applyAlignment="1">
      <alignment horizontal="center"/>
    </xf>
    <xf numFmtId="0" fontId="33" fillId="2" borderId="1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3" fillId="2" borderId="6" xfId="0" applyFont="1" applyFill="1" applyBorder="1" applyAlignment="1">
      <alignment/>
    </xf>
    <xf numFmtId="0" fontId="33" fillId="2" borderId="8" xfId="0" applyFont="1" applyFill="1" applyBorder="1" applyAlignment="1">
      <alignment/>
    </xf>
    <xf numFmtId="0" fontId="33" fillId="2" borderId="9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8" xfId="0" applyFill="1" applyBorder="1" applyAlignment="1">
      <alignment/>
    </xf>
    <xf numFmtId="0" fontId="5" fillId="2" borderId="92" xfId="0" applyFont="1" applyFill="1" applyBorder="1" applyAlignment="1">
      <alignment/>
    </xf>
    <xf numFmtId="0" fontId="0" fillId="2" borderId="100" xfId="0" applyFill="1" applyBorder="1" applyAlignment="1">
      <alignment/>
    </xf>
    <xf numFmtId="0" fontId="0" fillId="2" borderId="99" xfId="0" applyFill="1" applyBorder="1" applyAlignment="1">
      <alignment/>
    </xf>
    <xf numFmtId="0" fontId="0" fillId="7" borderId="0" xfId="0" applyFill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75" xfId="21" applyFont="1" applyFill="1" applyBorder="1" applyAlignment="1">
      <alignment horizontal="right"/>
      <protection/>
    </xf>
    <xf numFmtId="0" fontId="5" fillId="2" borderId="0" xfId="21" applyFont="1" applyFill="1" applyBorder="1" applyAlignment="1">
      <alignment horizontal="right"/>
      <protection/>
    </xf>
    <xf numFmtId="0" fontId="5" fillId="2" borderId="74" xfId="21" applyFont="1" applyFill="1" applyBorder="1" applyAlignment="1">
      <alignment horizontal="right"/>
      <protection/>
    </xf>
    <xf numFmtId="0" fontId="5" fillId="2" borderId="68" xfId="21" applyFont="1" applyFill="1" applyBorder="1" applyAlignment="1">
      <alignment horizontal="right"/>
      <protection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71" xfId="21" applyFill="1" applyBorder="1" applyAlignment="1">
      <alignment horizontal="center"/>
      <protection/>
    </xf>
    <xf numFmtId="0" fontId="0" fillId="2" borderId="75" xfId="21" applyFill="1" applyBorder="1" applyAlignment="1">
      <alignment horizontal="right"/>
      <protection/>
    </xf>
    <xf numFmtId="0" fontId="0" fillId="2" borderId="0" xfId="21" applyFill="1" applyBorder="1" applyAlignment="1">
      <alignment horizontal="right"/>
      <protection/>
    </xf>
    <xf numFmtId="0" fontId="5" fillId="2" borderId="101" xfId="21" applyFont="1" applyFill="1" applyBorder="1" applyAlignment="1">
      <alignment horizontal="right"/>
      <protection/>
    </xf>
    <xf numFmtId="0" fontId="5" fillId="2" borderId="10" xfId="21" applyFont="1" applyFill="1" applyBorder="1" applyAlignment="1">
      <alignment horizontal="right"/>
      <protection/>
    </xf>
    <xf numFmtId="0" fontId="0" fillId="3" borderId="7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/>
      <protection/>
    </xf>
    <xf numFmtId="0" fontId="37" fillId="5" borderId="98" xfId="0" applyFont="1" applyFill="1" applyBorder="1" applyAlignment="1">
      <alignment horizontal="center" vertical="center"/>
    </xf>
    <xf numFmtId="0" fontId="37" fillId="5" borderId="102" xfId="0" applyFont="1" applyFill="1" applyBorder="1" applyAlignment="1">
      <alignment horizontal="center" vertical="center"/>
    </xf>
    <xf numFmtId="0" fontId="67" fillId="5" borderId="98" xfId="0" applyFont="1" applyFill="1" applyBorder="1" applyAlignment="1">
      <alignment horizontal="right"/>
    </xf>
    <xf numFmtId="0" fontId="0" fillId="3" borderId="74" xfId="21" applyFill="1" applyBorder="1" applyAlignment="1">
      <alignment horizontal="center"/>
      <protection/>
    </xf>
    <xf numFmtId="0" fontId="0" fillId="3" borderId="68" xfId="21" applyFill="1" applyBorder="1" applyAlignment="1">
      <alignment horizontal="center"/>
      <protection/>
    </xf>
    <xf numFmtId="0" fontId="0" fillId="3" borderId="69" xfId="21" applyFill="1" applyBorder="1" applyAlignment="1">
      <alignment horizontal="center"/>
      <protection/>
    </xf>
    <xf numFmtId="0" fontId="67" fillId="5" borderId="98" xfId="0" applyFont="1" applyFill="1" applyBorder="1" applyAlignment="1">
      <alignment horizontal="center" vertical="center"/>
    </xf>
    <xf numFmtId="0" fontId="67" fillId="5" borderId="103" xfId="0" applyFont="1" applyFill="1" applyBorder="1" applyAlignment="1">
      <alignment horizontal="center" vertical="center"/>
    </xf>
    <xf numFmtId="0" fontId="68" fillId="6" borderId="104" xfId="0" applyFont="1" applyFill="1" applyBorder="1" applyAlignment="1">
      <alignment horizontal="center" vertical="center"/>
    </xf>
    <xf numFmtId="0" fontId="68" fillId="6" borderId="97" xfId="0" applyFont="1" applyFill="1" applyBorder="1" applyAlignment="1">
      <alignment horizontal="center" vertical="center"/>
    </xf>
    <xf numFmtId="0" fontId="65" fillId="6" borderId="97" xfId="0" applyFont="1" applyFill="1" applyBorder="1" applyAlignment="1">
      <alignment horizontal="right"/>
    </xf>
    <xf numFmtId="0" fontId="65" fillId="6" borderId="97" xfId="0" applyFont="1" applyFill="1" applyBorder="1" applyAlignment="1">
      <alignment horizontal="center" vertical="center"/>
    </xf>
    <xf numFmtId="0" fontId="26" fillId="8" borderId="105" xfId="0" applyFont="1" applyFill="1" applyBorder="1" applyAlignment="1">
      <alignment horizontal="center" vertical="center"/>
    </xf>
    <xf numFmtId="0" fontId="26" fillId="8" borderId="106" xfId="0" applyFont="1" applyFill="1" applyBorder="1" applyAlignment="1">
      <alignment horizontal="center" vertical="center"/>
    </xf>
    <xf numFmtId="0" fontId="26" fillId="8" borderId="107" xfId="0" applyFont="1" applyFill="1" applyBorder="1" applyAlignment="1">
      <alignment horizontal="center" vertical="center"/>
    </xf>
    <xf numFmtId="0" fontId="26" fillId="8" borderId="97" xfId="0" applyFont="1" applyFill="1" applyBorder="1" applyAlignment="1">
      <alignment horizontal="center" vertical="center"/>
    </xf>
    <xf numFmtId="0" fontId="64" fillId="8" borderId="106" xfId="0" applyFont="1" applyFill="1" applyBorder="1" applyAlignment="1">
      <alignment horizontal="center" vertical="center" wrapText="1"/>
    </xf>
    <xf numFmtId="0" fontId="64" fillId="8" borderId="108" xfId="0" applyFont="1" applyFill="1" applyBorder="1" applyAlignment="1">
      <alignment horizontal="center" vertical="center" wrapText="1"/>
    </xf>
    <xf numFmtId="0" fontId="64" fillId="8" borderId="97" xfId="0" applyFont="1" applyFill="1" applyBorder="1" applyAlignment="1">
      <alignment horizontal="center" vertical="center" wrapText="1"/>
    </xf>
    <xf numFmtId="0" fontId="64" fillId="8" borderId="104" xfId="0" applyFont="1" applyFill="1" applyBorder="1" applyAlignment="1">
      <alignment horizontal="center" vertical="center" wrapText="1"/>
    </xf>
    <xf numFmtId="0" fontId="67" fillId="5" borderId="107" xfId="0" applyFont="1" applyFill="1" applyBorder="1" applyAlignment="1">
      <alignment horizontal="center" vertical="center"/>
    </xf>
    <xf numFmtId="0" fontId="67" fillId="5" borderId="97" xfId="0" applyFont="1" applyFill="1" applyBorder="1" applyAlignment="1">
      <alignment horizontal="center" vertical="center"/>
    </xf>
    <xf numFmtId="0" fontId="66" fillId="5" borderId="97" xfId="0" applyFont="1" applyFill="1" applyBorder="1" applyAlignment="1">
      <alignment/>
    </xf>
    <xf numFmtId="0" fontId="37" fillId="5" borderId="97" xfId="0" applyFont="1" applyFill="1" applyBorder="1" applyAlignment="1">
      <alignment horizontal="center" vertical="center"/>
    </xf>
    <xf numFmtId="0" fontId="37" fillId="5" borderId="104" xfId="0" applyFont="1" applyFill="1" applyBorder="1" applyAlignment="1">
      <alignment horizontal="center" vertical="center"/>
    </xf>
    <xf numFmtId="0" fontId="67" fillId="5" borderId="97" xfId="0" applyFont="1" applyFill="1" applyBorder="1" applyAlignment="1">
      <alignment horizontal="right"/>
    </xf>
    <xf numFmtId="0" fontId="65" fillId="6" borderId="107" xfId="0" applyFont="1" applyFill="1" applyBorder="1" applyAlignment="1">
      <alignment horizontal="center" vertical="center"/>
    </xf>
    <xf numFmtId="194" fontId="5" fillId="3" borderId="12" xfId="0" applyNumberFormat="1" applyFont="1" applyFill="1" applyBorder="1" applyAlignment="1">
      <alignment horizontal="center"/>
    </xf>
    <xf numFmtId="194" fontId="5" fillId="3" borderId="22" xfId="0" applyNumberFormat="1" applyFont="1" applyFill="1" applyBorder="1" applyAlignment="1">
      <alignment horizontal="center"/>
    </xf>
    <xf numFmtId="194" fontId="5" fillId="3" borderId="23" xfId="0" applyNumberFormat="1" applyFont="1" applyFill="1" applyBorder="1" applyAlignment="1">
      <alignment horizontal="center"/>
    </xf>
    <xf numFmtId="0" fontId="5" fillId="9" borderId="4" xfId="21" applyFont="1" applyFill="1" applyBorder="1" applyAlignment="1">
      <alignment horizontal="center"/>
      <protection/>
    </xf>
    <xf numFmtId="0" fontId="5" fillId="9" borderId="2" xfId="21" applyFont="1" applyFill="1" applyBorder="1" applyAlignment="1">
      <alignment horizontal="center"/>
      <protection/>
    </xf>
    <xf numFmtId="0" fontId="5" fillId="9" borderId="3" xfId="21" applyFont="1" applyFill="1" applyBorder="1" applyAlignment="1">
      <alignment horizontal="center"/>
      <protection/>
    </xf>
    <xf numFmtId="0" fontId="5" fillId="9" borderId="5" xfId="21" applyFont="1" applyFill="1" applyBorder="1" applyAlignment="1">
      <alignment horizontal="center"/>
      <protection/>
    </xf>
    <xf numFmtId="0" fontId="5" fillId="9" borderId="0" xfId="21" applyFont="1" applyFill="1" applyBorder="1" applyAlignment="1">
      <alignment horizontal="center"/>
      <protection/>
    </xf>
    <xf numFmtId="0" fontId="5" fillId="9" borderId="6" xfId="21" applyFont="1" applyFill="1" applyBorder="1" applyAlignment="1">
      <alignment horizontal="center"/>
      <protection/>
    </xf>
    <xf numFmtId="0" fontId="5" fillId="9" borderId="9" xfId="21" applyFont="1" applyFill="1" applyBorder="1" applyAlignment="1">
      <alignment horizontal="center"/>
      <protection/>
    </xf>
    <xf numFmtId="0" fontId="5" fillId="9" borderId="10" xfId="21" applyFont="1" applyFill="1" applyBorder="1" applyAlignment="1">
      <alignment horizontal="center"/>
      <protection/>
    </xf>
    <xf numFmtId="0" fontId="5" fillId="9" borderId="8" xfId="21" applyFont="1" applyFill="1" applyBorder="1" applyAlignment="1">
      <alignment horizontal="center"/>
      <protection/>
    </xf>
    <xf numFmtId="0" fontId="4" fillId="9" borderId="9" xfId="21" applyFont="1" applyFill="1" applyBorder="1" applyAlignment="1">
      <alignment horizontal="center"/>
      <protection/>
    </xf>
    <xf numFmtId="0" fontId="4" fillId="9" borderId="10" xfId="21" applyFont="1" applyFill="1" applyBorder="1" applyAlignment="1">
      <alignment horizontal="center"/>
      <protection/>
    </xf>
    <xf numFmtId="0" fontId="4" fillId="9" borderId="8" xfId="21" applyFont="1" applyFill="1" applyBorder="1" applyAlignment="1">
      <alignment horizontal="center"/>
      <protection/>
    </xf>
    <xf numFmtId="0" fontId="6" fillId="9" borderId="4" xfId="21" applyFont="1" applyFill="1" applyBorder="1" applyAlignment="1">
      <alignment horizontal="center"/>
      <protection/>
    </xf>
    <xf numFmtId="0" fontId="6" fillId="9" borderId="2" xfId="21" applyFont="1" applyFill="1" applyBorder="1" applyAlignment="1">
      <alignment horizontal="center"/>
      <protection/>
    </xf>
    <xf numFmtId="0" fontId="6" fillId="9" borderId="3" xfId="21" applyFont="1" applyFill="1" applyBorder="1" applyAlignment="1">
      <alignment horizontal="center"/>
      <protection/>
    </xf>
    <xf numFmtId="0" fontId="4" fillId="9" borderId="5" xfId="21" applyFont="1" applyFill="1" applyBorder="1" applyAlignment="1">
      <alignment horizontal="center"/>
      <protection/>
    </xf>
    <xf numFmtId="0" fontId="4" fillId="9" borderId="0" xfId="21" applyFont="1" applyFill="1" applyBorder="1" applyAlignment="1">
      <alignment horizontal="center"/>
      <protection/>
    </xf>
    <xf numFmtId="0" fontId="4" fillId="9" borderId="6" xfId="21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9" fillId="0" borderId="12" xfId="0" applyFont="1" applyBorder="1" applyAlignment="1">
      <alignment horizontal="center" vertical="top" wrapText="1" readingOrder="2"/>
    </xf>
    <xf numFmtId="0" fontId="61" fillId="4" borderId="4" xfId="0" applyFont="1" applyFill="1" applyBorder="1" applyAlignment="1">
      <alignment horizontal="center" vertical="center"/>
    </xf>
    <xf numFmtId="0" fontId="61" fillId="4" borderId="3" xfId="0" applyFont="1" applyFill="1" applyBorder="1" applyAlignment="1">
      <alignment horizontal="center" vertical="center"/>
    </xf>
    <xf numFmtId="0" fontId="61" fillId="4" borderId="9" xfId="0" applyFont="1" applyFill="1" applyBorder="1" applyAlignment="1">
      <alignment horizontal="center" vertical="center"/>
    </xf>
    <xf numFmtId="0" fontId="61" fillId="4" borderId="8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center" vertical="center"/>
    </xf>
    <xf numFmtId="0" fontId="61" fillId="4" borderId="6" xfId="0" applyFont="1" applyFill="1" applyBorder="1" applyAlignment="1">
      <alignment horizontal="center" vertical="center"/>
    </xf>
    <xf numFmtId="0" fontId="11" fillId="0" borderId="12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2" borderId="69" xfId="0" applyFont="1" applyFill="1" applyBorder="1" applyAlignment="1">
      <alignment horizontal="center" vertical="top" wrapText="1" readingOrder="2"/>
    </xf>
    <xf numFmtId="0" fontId="0" fillId="2" borderId="71" xfId="0" applyFont="1" applyFill="1" applyBorder="1" applyAlignment="1">
      <alignment horizontal="center" vertical="top" wrapText="1" readingOrder="2"/>
    </xf>
    <xf numFmtId="0" fontId="4" fillId="3" borderId="75" xfId="0" applyFont="1" applyFill="1" applyBorder="1" applyAlignment="1">
      <alignment horizontal="center" vertical="top" wrapText="1" readingOrder="2"/>
    </xf>
    <xf numFmtId="0" fontId="4" fillId="3" borderId="0" xfId="0" applyFont="1" applyFill="1" applyBorder="1" applyAlignment="1">
      <alignment horizontal="center" vertical="top" wrapText="1" readingOrder="2"/>
    </xf>
    <xf numFmtId="0" fontId="4" fillId="3" borderId="70" xfId="0" applyFont="1" applyFill="1" applyBorder="1" applyAlignment="1">
      <alignment horizontal="center" vertical="top" wrapText="1" readingOrder="2"/>
    </xf>
    <xf numFmtId="0" fontId="4" fillId="3" borderId="74" xfId="0" applyFont="1" applyFill="1" applyBorder="1" applyAlignment="1">
      <alignment horizontal="center" vertical="top" wrapText="1" readingOrder="2"/>
    </xf>
    <xf numFmtId="0" fontId="4" fillId="3" borderId="68" xfId="0" applyFont="1" applyFill="1" applyBorder="1" applyAlignment="1">
      <alignment horizontal="center" vertical="top" wrapText="1" readingOrder="2"/>
    </xf>
    <xf numFmtId="0" fontId="4" fillId="3" borderId="69" xfId="0" applyFont="1" applyFill="1" applyBorder="1" applyAlignment="1">
      <alignment horizontal="center" vertical="top" wrapText="1" readingOrder="2"/>
    </xf>
    <xf numFmtId="0" fontId="0" fillId="2" borderId="74" xfId="21" applyFill="1" applyBorder="1" applyAlignment="1">
      <alignment horizontal="center"/>
      <protection/>
    </xf>
    <xf numFmtId="0" fontId="0" fillId="2" borderId="68" xfId="21" applyFill="1" applyBorder="1" applyAlignment="1">
      <alignment horizontal="center"/>
      <protection/>
    </xf>
    <xf numFmtId="0" fontId="0" fillId="2" borderId="75" xfId="21" applyFill="1" applyBorder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0" fillId="2" borderId="68" xfId="0" applyFont="1" applyFill="1" applyBorder="1" applyAlignment="1">
      <alignment horizontal="center" vertical="top" wrapText="1" readingOrder="2"/>
    </xf>
    <xf numFmtId="0" fontId="0" fillId="2" borderId="7" xfId="0" applyFont="1" applyFill="1" applyBorder="1" applyAlignment="1">
      <alignment horizontal="center" vertical="top" wrapText="1" readingOrder="2"/>
    </xf>
    <xf numFmtId="0" fontId="7" fillId="2" borderId="84" xfId="0" applyFont="1" applyFill="1" applyBorder="1" applyAlignment="1">
      <alignment horizontal="right" vertical="top" wrapText="1" readingOrder="2"/>
    </xf>
    <xf numFmtId="0" fontId="7" fillId="2" borderId="72" xfId="0" applyFont="1" applyFill="1" applyBorder="1" applyAlignment="1">
      <alignment horizontal="right" vertical="top" wrapText="1" readingOrder="2"/>
    </xf>
    <xf numFmtId="0" fontId="7" fillId="2" borderId="73" xfId="0" applyFont="1" applyFill="1" applyBorder="1" applyAlignment="1">
      <alignment horizontal="right" vertical="top" wrapText="1" readingOrder="2"/>
    </xf>
    <xf numFmtId="0" fontId="18" fillId="0" borderId="12" xfId="21" applyFont="1" applyBorder="1" applyAlignment="1">
      <alignment horizontal="center"/>
      <protection/>
    </xf>
    <xf numFmtId="0" fontId="53" fillId="3" borderId="76" xfId="21" applyFont="1" applyFill="1" applyBorder="1" applyAlignment="1">
      <alignment horizontal="center"/>
      <protection/>
    </xf>
    <xf numFmtId="0" fontId="53" fillId="3" borderId="7" xfId="21" applyFont="1" applyFill="1" applyBorder="1" applyAlignment="1">
      <alignment horizontal="center"/>
      <protection/>
    </xf>
    <xf numFmtId="0" fontId="53" fillId="3" borderId="71" xfId="21" applyFont="1" applyFill="1" applyBorder="1" applyAlignment="1">
      <alignment horizontal="center"/>
      <protection/>
    </xf>
    <xf numFmtId="0" fontId="53" fillId="3" borderId="74" xfId="21" applyFont="1" applyFill="1" applyBorder="1" applyAlignment="1">
      <alignment horizontal="center"/>
      <protection/>
    </xf>
    <xf numFmtId="0" fontId="53" fillId="3" borderId="68" xfId="21" applyFont="1" applyFill="1" applyBorder="1" applyAlignment="1">
      <alignment horizontal="center"/>
      <protection/>
    </xf>
    <xf numFmtId="0" fontId="53" fillId="3" borderId="69" xfId="21" applyFont="1" applyFill="1" applyBorder="1" applyAlignment="1">
      <alignment horizontal="center"/>
      <protection/>
    </xf>
    <xf numFmtId="0" fontId="5" fillId="0" borderId="12" xfId="21" applyFont="1" applyBorder="1" applyAlignment="1">
      <alignment horizontal="center"/>
      <protection/>
    </xf>
    <xf numFmtId="0" fontId="1" fillId="2" borderId="75" xfId="21" applyFont="1" applyFill="1" applyBorder="1" applyAlignment="1">
      <alignment horizontal="center" wrapText="1"/>
      <protection/>
    </xf>
    <xf numFmtId="0" fontId="1" fillId="2" borderId="0" xfId="21" applyFont="1" applyFill="1" applyBorder="1" applyAlignment="1">
      <alignment horizontal="center" wrapText="1"/>
      <protection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7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1" fontId="49" fillId="2" borderId="109" xfId="0" applyNumberFormat="1" applyFont="1" applyFill="1" applyBorder="1" applyAlignment="1">
      <alignment horizontal="center"/>
    </xf>
    <xf numFmtId="1" fontId="49" fillId="2" borderId="110" xfId="0" applyNumberFormat="1" applyFont="1" applyFill="1" applyBorder="1" applyAlignment="1">
      <alignment horizontal="center"/>
    </xf>
    <xf numFmtId="0" fontId="44" fillId="3" borderId="75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/>
    </xf>
    <xf numFmtId="0" fontId="48" fillId="2" borderId="6" xfId="0" applyFont="1" applyFill="1" applyBorder="1" applyAlignment="1">
      <alignment horizontal="center"/>
    </xf>
    <xf numFmtId="0" fontId="44" fillId="3" borderId="72" xfId="0" applyFont="1" applyFill="1" applyBorder="1" applyAlignment="1">
      <alignment horizontal="center"/>
    </xf>
    <xf numFmtId="0" fontId="44" fillId="3" borderId="73" xfId="0" applyFont="1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5" fillId="2" borderId="1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9" fontId="32" fillId="3" borderId="74" xfId="0" applyNumberFormat="1" applyFont="1" applyFill="1" applyBorder="1" applyAlignment="1">
      <alignment horizontal="center"/>
    </xf>
    <xf numFmtId="9" fontId="32" fillId="3" borderId="68" xfId="0" applyNumberFormat="1" applyFont="1" applyFill="1" applyBorder="1" applyAlignment="1">
      <alignment horizontal="center"/>
    </xf>
    <xf numFmtId="9" fontId="47" fillId="2" borderId="4" xfId="0" applyNumberFormat="1" applyFont="1" applyFill="1" applyBorder="1" applyAlignment="1">
      <alignment horizontal="center"/>
    </xf>
    <xf numFmtId="9" fontId="47" fillId="2" borderId="3" xfId="0" applyNumberFormat="1" applyFont="1" applyFill="1" applyBorder="1" applyAlignment="1">
      <alignment horizontal="center"/>
    </xf>
    <xf numFmtId="9" fontId="32" fillId="3" borderId="0" xfId="0" applyNumberFormat="1" applyFont="1" applyFill="1" applyBorder="1" applyAlignment="1">
      <alignment horizontal="center"/>
    </xf>
    <xf numFmtId="9" fontId="32" fillId="3" borderId="70" xfId="0" applyNumberFormat="1" applyFon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5" fillId="2" borderId="68" xfId="0" applyFont="1" applyFill="1" applyBorder="1" applyAlignment="1">
      <alignment horizontal="right"/>
    </xf>
    <xf numFmtId="0" fontId="5" fillId="2" borderId="6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7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71" xfId="0" applyFont="1" applyFill="1" applyBorder="1" applyAlignment="1">
      <alignment horizontal="right"/>
    </xf>
    <xf numFmtId="0" fontId="5" fillId="2" borderId="7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9" fontId="45" fillId="3" borderId="49" xfId="0" applyNumberFormat="1" applyFont="1" applyFill="1" applyBorder="1" applyAlignment="1">
      <alignment horizontal="center" wrapText="1"/>
    </xf>
    <xf numFmtId="9" fontId="45" fillId="3" borderId="51" xfId="0" applyNumberFormat="1" applyFont="1" applyFill="1" applyBorder="1" applyAlignment="1">
      <alignment horizontal="center" wrapText="1"/>
    </xf>
    <xf numFmtId="0" fontId="0" fillId="3" borderId="49" xfId="0" applyFont="1" applyFill="1" applyBorder="1" applyAlignment="1">
      <alignment horizontal="center" wrapText="1"/>
    </xf>
    <xf numFmtId="0" fontId="0" fillId="3" borderId="51" xfId="0" applyFont="1" applyFill="1" applyBorder="1" applyAlignment="1">
      <alignment horizontal="center" wrapText="1"/>
    </xf>
    <xf numFmtId="0" fontId="5" fillId="3" borderId="4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1" fillId="3" borderId="12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5" fillId="3" borderId="84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4" xfId="0" applyFont="1" applyFill="1" applyBorder="1" applyAlignment="1">
      <alignment horizontal="left"/>
    </xf>
    <xf numFmtId="0" fontId="5" fillId="3" borderId="68" xfId="0" applyFont="1" applyFill="1" applyBorder="1" applyAlignment="1">
      <alignment horizontal="left"/>
    </xf>
    <xf numFmtId="0" fontId="5" fillId="3" borderId="6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 wrapText="1"/>
    </xf>
    <xf numFmtId="0" fontId="43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wrapText="1"/>
    </xf>
    <xf numFmtId="0" fontId="7" fillId="2" borderId="76" xfId="0" applyFont="1" applyFill="1" applyBorder="1" applyAlignment="1">
      <alignment horizontal="center" vertical="top" wrapText="1" readingOrder="2"/>
    </xf>
    <xf numFmtId="0" fontId="7" fillId="2" borderId="7" xfId="0" applyFont="1" applyFill="1" applyBorder="1" applyAlignment="1">
      <alignment horizontal="center" vertical="top" wrapText="1" readingOrder="2"/>
    </xf>
    <xf numFmtId="0" fontId="7" fillId="2" borderId="75" xfId="0" applyFont="1" applyFill="1" applyBorder="1" applyAlignment="1">
      <alignment horizontal="center" vertical="top" wrapText="1" readingOrder="2"/>
    </xf>
    <xf numFmtId="0" fontId="7" fillId="2" borderId="0" xfId="0" applyFont="1" applyFill="1" applyBorder="1" applyAlignment="1">
      <alignment horizontal="center" vertical="top" wrapText="1" readingOrder="2"/>
    </xf>
    <xf numFmtId="0" fontId="7" fillId="2" borderId="75" xfId="0" applyFont="1" applyFill="1" applyBorder="1" applyAlignment="1">
      <alignment horizontal="right" vertical="top" wrapText="1" readingOrder="2"/>
    </xf>
    <xf numFmtId="0" fontId="7" fillId="2" borderId="0" xfId="0" applyFont="1" applyFill="1" applyBorder="1" applyAlignment="1">
      <alignment horizontal="right" vertical="top" wrapText="1" readingOrder="2"/>
    </xf>
    <xf numFmtId="0" fontId="8" fillId="3" borderId="84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0" fillId="2" borderId="7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7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38" fillId="4" borderId="74" xfId="0" applyFont="1" applyFill="1" applyBorder="1" applyAlignment="1">
      <alignment horizontal="center" vertical="center"/>
    </xf>
    <xf numFmtId="0" fontId="38" fillId="4" borderId="69" xfId="0" applyFont="1" applyFill="1" applyBorder="1" applyAlignment="1">
      <alignment horizontal="center" vertical="center"/>
    </xf>
    <xf numFmtId="0" fontId="38" fillId="4" borderId="76" xfId="0" applyFont="1" applyFill="1" applyBorder="1" applyAlignment="1">
      <alignment horizontal="center" vertical="center"/>
    </xf>
    <xf numFmtId="0" fontId="38" fillId="4" borderId="7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 readingOrder="2"/>
    </xf>
    <xf numFmtId="0" fontId="0" fillId="2" borderId="7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8" fillId="3" borderId="82" xfId="0" applyFont="1" applyFill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 vertical="top" wrapText="1" readingOrder="2"/>
    </xf>
    <xf numFmtId="0" fontId="4" fillId="2" borderId="0" xfId="0" applyFont="1" applyFill="1" applyBorder="1" applyAlignment="1">
      <alignment horizontal="center" vertical="top" wrapText="1" readingOrder="2"/>
    </xf>
    <xf numFmtId="0" fontId="5" fillId="0" borderId="12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top" wrapText="1" readingOrder="2"/>
    </xf>
    <xf numFmtId="0" fontId="7" fillId="2" borderId="52" xfId="0" applyFont="1" applyFill="1" applyBorder="1" applyAlignment="1">
      <alignment horizontal="center" vertical="top" wrapText="1" readingOrder="2"/>
    </xf>
    <xf numFmtId="0" fontId="8" fillId="3" borderId="12" xfId="0" applyFont="1" applyFill="1" applyBorder="1" applyAlignment="1">
      <alignment horizontal="center" vertical="top" wrapText="1" readingOrder="2"/>
    </xf>
    <xf numFmtId="0" fontId="5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 horizontal="right"/>
    </xf>
    <xf numFmtId="0" fontId="7" fillId="2" borderId="52" xfId="0" applyFont="1" applyFill="1" applyBorder="1" applyAlignment="1">
      <alignment horizontal="right" vertical="top" wrapText="1" readingOrder="2"/>
    </xf>
    <xf numFmtId="0" fontId="6" fillId="3" borderId="22" xfId="0" applyFon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0" xfId="0" applyFill="1" applyBorder="1" applyAlignment="1">
      <alignment horizontal="right"/>
    </xf>
    <xf numFmtId="0" fontId="5" fillId="2" borderId="75" xfId="0" applyFont="1" applyFill="1" applyBorder="1" applyAlignment="1">
      <alignment horizontal="right"/>
    </xf>
    <xf numFmtId="0" fontId="5" fillId="2" borderId="76" xfId="0" applyFont="1" applyFill="1" applyBorder="1" applyAlignment="1">
      <alignment horizontal="right"/>
    </xf>
    <xf numFmtId="0" fontId="0" fillId="0" borderId="12" xfId="0" applyFont="1" applyBorder="1" applyAlignment="1">
      <alignment horizontal="center" vertical="top" wrapText="1" readingOrder="2"/>
    </xf>
    <xf numFmtId="0" fontId="26" fillId="4" borderId="12" xfId="0" applyFont="1" applyFill="1" applyBorder="1" applyAlignment="1">
      <alignment horizontal="center" vertical="top" wrapText="1" readingOrder="2"/>
    </xf>
    <xf numFmtId="0" fontId="57" fillId="4" borderId="12" xfId="0" applyFont="1" applyFill="1" applyBorder="1" applyAlignment="1">
      <alignment horizontal="center" vertical="top" wrapText="1" readingOrder="2"/>
    </xf>
    <xf numFmtId="0" fontId="56" fillId="4" borderId="12" xfId="0" applyFont="1" applyFill="1" applyBorder="1" applyAlignment="1">
      <alignment horizontal="center" vertical="top" wrapText="1" readingOrder="2"/>
    </xf>
    <xf numFmtId="0" fontId="7" fillId="0" borderId="12" xfId="0" applyFont="1" applyBorder="1" applyAlignment="1">
      <alignment horizontal="right" vertical="top" wrapText="1" readingOrder="2"/>
    </xf>
    <xf numFmtId="0" fontId="28" fillId="0" borderId="12" xfId="0" applyFont="1" applyBorder="1" applyAlignment="1">
      <alignment horizontal="right" vertical="top" wrapText="1" readingOrder="2"/>
    </xf>
    <xf numFmtId="0" fontId="0" fillId="0" borderId="12" xfId="0" applyBorder="1" applyAlignment="1">
      <alignment horizontal="center" vertical="center" wrapText="1"/>
    </xf>
    <xf numFmtId="0" fontId="0" fillId="2" borderId="6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 readingOrder="2"/>
    </xf>
    <xf numFmtId="0" fontId="8" fillId="2" borderId="75" xfId="0" applyFont="1" applyFill="1" applyBorder="1" applyAlignment="1">
      <alignment horizontal="center" vertical="top" wrapText="1" readingOrder="2"/>
    </xf>
    <xf numFmtId="0" fontId="8" fillId="2" borderId="0" xfId="0" applyFont="1" applyFill="1" applyBorder="1" applyAlignment="1">
      <alignment horizontal="center" vertical="top" wrapText="1" readingOrder="2"/>
    </xf>
    <xf numFmtId="0" fontId="28" fillId="2" borderId="75" xfId="0" applyFont="1" applyFill="1" applyBorder="1" applyAlignment="1">
      <alignment horizontal="right" vertical="top" wrapText="1" readingOrder="2"/>
    </xf>
    <xf numFmtId="0" fontId="28" fillId="2" borderId="0" xfId="0" applyFont="1" applyFill="1" applyBorder="1" applyAlignment="1">
      <alignment horizontal="right" vertical="top" wrapText="1" readingOrder="2"/>
    </xf>
    <xf numFmtId="0" fontId="28" fillId="2" borderId="75" xfId="0" applyFont="1" applyFill="1" applyBorder="1" applyAlignment="1">
      <alignment horizontal="center" vertical="top" wrapText="1" readingOrder="2"/>
    </xf>
    <xf numFmtId="0" fontId="28" fillId="2" borderId="0" xfId="0" applyFont="1" applyFill="1" applyBorder="1" applyAlignment="1">
      <alignment horizontal="center" vertical="top" wrapText="1" readingOrder="2"/>
    </xf>
    <xf numFmtId="0" fontId="0" fillId="3" borderId="68" xfId="0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28" fillId="2" borderId="76" xfId="0" applyFont="1" applyFill="1" applyBorder="1" applyAlignment="1">
      <alignment horizontal="center" vertical="top" wrapText="1" readingOrder="2"/>
    </xf>
    <xf numFmtId="0" fontId="28" fillId="2" borderId="7" xfId="0" applyFont="1" applyFill="1" applyBorder="1" applyAlignment="1">
      <alignment horizontal="center" vertical="top" wrapText="1" readingOrder="2"/>
    </xf>
    <xf numFmtId="0" fontId="5" fillId="0" borderId="75" xfId="0" applyFont="1" applyFill="1" applyBorder="1" applyAlignment="1">
      <alignment vertical="top" wrapText="1" readingOrder="2"/>
    </xf>
    <xf numFmtId="0" fontId="7" fillId="2" borderId="74" xfId="0" applyFont="1" applyFill="1" applyBorder="1" applyAlignment="1">
      <alignment horizontal="center" vertical="top" wrapText="1" readingOrder="2"/>
    </xf>
    <xf numFmtId="0" fontId="7" fillId="2" borderId="68" xfId="0" applyFont="1" applyFill="1" applyBorder="1" applyAlignment="1">
      <alignment horizontal="center" vertical="top" wrapText="1" readingOrder="2"/>
    </xf>
    <xf numFmtId="0" fontId="5" fillId="3" borderId="1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 readingOrder="2"/>
    </xf>
    <xf numFmtId="0" fontId="0" fillId="2" borderId="51" xfId="0" applyFill="1" applyBorder="1" applyAlignment="1">
      <alignment horizontal="right"/>
    </xf>
    <xf numFmtId="0" fontId="0" fillId="0" borderId="0" xfId="0" applyBorder="1" applyAlignment="1">
      <alignment/>
    </xf>
    <xf numFmtId="0" fontId="7" fillId="2" borderId="49" xfId="0" applyFont="1" applyFill="1" applyBorder="1" applyAlignment="1">
      <alignment horizontal="right" vertical="top" wrapText="1" readingOrder="2"/>
    </xf>
    <xf numFmtId="0" fontId="7" fillId="2" borderId="5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right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39" fillId="4" borderId="22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center" vertical="center"/>
    </xf>
    <xf numFmtId="0" fontId="28" fillId="2" borderId="75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5" fillId="3" borderId="49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28" fillId="2" borderId="76" xfId="0" applyFont="1" applyFill="1" applyBorder="1" applyAlignment="1">
      <alignment horizontal="right"/>
    </xf>
    <xf numFmtId="0" fontId="28" fillId="2" borderId="7" xfId="0" applyFont="1" applyFill="1" applyBorder="1" applyAlignment="1">
      <alignment horizontal="right"/>
    </xf>
    <xf numFmtId="0" fontId="42" fillId="2" borderId="74" xfId="0" applyFont="1" applyFill="1" applyBorder="1" applyAlignment="1">
      <alignment horizontal="center"/>
    </xf>
    <xf numFmtId="0" fontId="42" fillId="2" borderId="68" xfId="0" applyFont="1" applyFill="1" applyBorder="1" applyAlignment="1">
      <alignment horizontal="center"/>
    </xf>
    <xf numFmtId="0" fontId="42" fillId="2" borderId="69" xfId="0" applyFont="1" applyFill="1" applyBorder="1" applyAlignment="1">
      <alignment horizontal="center"/>
    </xf>
    <xf numFmtId="0" fontId="42" fillId="2" borderId="75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2" borderId="70" xfId="0" applyFont="1" applyFill="1" applyBorder="1" applyAlignment="1">
      <alignment horizontal="center"/>
    </xf>
    <xf numFmtId="0" fontId="42" fillId="2" borderId="76" xfId="0" applyFont="1" applyFill="1" applyBorder="1" applyAlignment="1">
      <alignment horizontal="center"/>
    </xf>
    <xf numFmtId="0" fontId="42" fillId="2" borderId="7" xfId="0" applyFont="1" applyFill="1" applyBorder="1" applyAlignment="1">
      <alignment horizontal="center"/>
    </xf>
    <xf numFmtId="0" fontId="42" fillId="2" borderId="71" xfId="0" applyFont="1" applyFill="1" applyBorder="1" applyAlignment="1">
      <alignment horizontal="center"/>
    </xf>
    <xf numFmtId="0" fontId="28" fillId="2" borderId="74" xfId="0" applyFont="1" applyFill="1" applyBorder="1" applyAlignment="1">
      <alignment horizontal="right"/>
    </xf>
    <xf numFmtId="0" fontId="28" fillId="2" borderId="68" xfId="0" applyFont="1" applyFill="1" applyBorder="1" applyAlignment="1">
      <alignment horizontal="right"/>
    </xf>
    <xf numFmtId="0" fontId="25" fillId="2" borderId="112" xfId="20" applyFont="1" applyFill="1" applyBorder="1" applyAlignment="1">
      <alignment horizontal="center"/>
    </xf>
    <xf numFmtId="0" fontId="25" fillId="2" borderId="113" xfId="20" applyFont="1" applyFill="1" applyBorder="1" applyAlignment="1">
      <alignment horizontal="center"/>
    </xf>
    <xf numFmtId="0" fontId="25" fillId="2" borderId="114" xfId="20" applyFont="1" applyFill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9" borderId="11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16" fontId="0" fillId="9" borderId="117" xfId="0" applyNumberFormat="1" applyFill="1" applyBorder="1" applyAlignment="1">
      <alignment horizontal="center"/>
    </xf>
    <xf numFmtId="0" fontId="0" fillId="9" borderId="0" xfId="0" applyNumberFormat="1" applyFill="1" applyBorder="1" applyAlignment="1">
      <alignment horizontal="center"/>
    </xf>
    <xf numFmtId="0" fontId="0" fillId="9" borderId="19" xfId="0" applyNumberFormat="1" applyFill="1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9" borderId="121" xfId="0" applyFill="1" applyBorder="1" applyAlignment="1">
      <alignment horizontal="center"/>
    </xf>
    <xf numFmtId="0" fontId="0" fillId="9" borderId="122" xfId="0" applyFill="1" applyBorder="1" applyAlignment="1">
      <alignment horizontal="center"/>
    </xf>
    <xf numFmtId="0" fontId="0" fillId="9" borderId="123" xfId="0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9" borderId="125" xfId="0" applyFont="1" applyFill="1" applyBorder="1" applyAlignment="1">
      <alignment horizontal="center" vertical="center"/>
    </xf>
    <xf numFmtId="0" fontId="8" fillId="9" borderId="126" xfId="0" applyFont="1" applyFill="1" applyBorder="1" applyAlignment="1">
      <alignment horizontal="center" vertical="center"/>
    </xf>
    <xf numFmtId="0" fontId="8" fillId="9" borderId="5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9" borderId="121" xfId="0" applyFont="1" applyFill="1" applyBorder="1" applyAlignment="1">
      <alignment horizontal="center" vertical="center"/>
    </xf>
    <xf numFmtId="0" fontId="8" fillId="9" borderId="122" xfId="0" applyFont="1" applyFill="1" applyBorder="1" applyAlignment="1">
      <alignment horizontal="center" vertical="center"/>
    </xf>
    <xf numFmtId="0" fontId="8" fillId="9" borderId="130" xfId="0" applyFont="1" applyFill="1" applyBorder="1" applyAlignment="1">
      <alignment horizontal="center" vertical="center"/>
    </xf>
    <xf numFmtId="0" fontId="8" fillId="9" borderId="117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96" xfId="0" applyBorder="1" applyAlignment="1">
      <alignment/>
    </xf>
    <xf numFmtId="0" fontId="28" fillId="0" borderId="12" xfId="0" applyFont="1" applyBorder="1" applyAlignment="1">
      <alignment horizontal="center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27" fillId="9" borderId="121" xfId="0" applyFont="1" applyFill="1" applyBorder="1" applyAlignment="1">
      <alignment horizontal="center" vertical="center"/>
    </xf>
    <xf numFmtId="0" fontId="27" fillId="9" borderId="122" xfId="0" applyFont="1" applyFill="1" applyBorder="1" applyAlignment="1">
      <alignment horizontal="center" vertical="center"/>
    </xf>
    <xf numFmtId="0" fontId="27" fillId="9" borderId="130" xfId="0" applyFont="1" applyFill="1" applyBorder="1" applyAlignment="1">
      <alignment horizontal="center" vertical="center"/>
    </xf>
    <xf numFmtId="0" fontId="27" fillId="9" borderId="117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136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7" fillId="9" borderId="13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0" fillId="0" borderId="120" xfId="0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58" xfId="0" applyFill="1" applyBorder="1" applyAlignment="1">
      <alignment horizontal="left"/>
    </xf>
    <xf numFmtId="0" fontId="0" fillId="2" borderId="125" xfId="0" applyFill="1" applyBorder="1" applyAlignment="1">
      <alignment horizontal="center"/>
    </xf>
    <xf numFmtId="0" fontId="0" fillId="2" borderId="140" xfId="0" applyFill="1" applyBorder="1" applyAlignment="1">
      <alignment horizontal="center"/>
    </xf>
    <xf numFmtId="0" fontId="26" fillId="4" borderId="121" xfId="0" applyFont="1" applyFill="1" applyBorder="1" applyAlignment="1">
      <alignment horizontal="center" vertical="center"/>
    </xf>
    <xf numFmtId="0" fontId="26" fillId="4" borderId="122" xfId="0" applyFont="1" applyFill="1" applyBorder="1" applyAlignment="1">
      <alignment horizontal="center" vertical="center"/>
    </xf>
    <xf numFmtId="0" fontId="26" fillId="4" borderId="130" xfId="0" applyFont="1" applyFill="1" applyBorder="1" applyAlignment="1">
      <alignment horizontal="center" vertical="center"/>
    </xf>
    <xf numFmtId="0" fontId="26" fillId="4" borderId="11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4" borderId="136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37" xfId="0" applyFont="1" applyFill="1" applyBorder="1" applyAlignment="1">
      <alignment horizontal="center" vertical="center"/>
    </xf>
    <xf numFmtId="0" fontId="5" fillId="2" borderId="141" xfId="0" applyFont="1" applyFill="1" applyBorder="1" applyAlignment="1">
      <alignment horizontal="center"/>
    </xf>
    <xf numFmtId="0" fontId="5" fillId="2" borderId="142" xfId="0" applyFont="1" applyFill="1" applyBorder="1" applyAlignment="1">
      <alignment horizontal="center"/>
    </xf>
    <xf numFmtId="0" fontId="0" fillId="2" borderId="14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8" fillId="0" borderId="87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8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4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14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16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8" fillId="0" borderId="116" xfId="0" applyFont="1" applyFill="1" applyBorder="1" applyAlignment="1">
      <alignment horizontal="center"/>
    </xf>
    <xf numFmtId="0" fontId="28" fillId="0" borderId="82" xfId="0" applyFont="1" applyFill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8" fillId="0" borderId="133" xfId="0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33" fillId="2" borderId="146" xfId="0" applyFont="1" applyFill="1" applyBorder="1" applyAlignment="1">
      <alignment horizontal="right"/>
    </xf>
    <xf numFmtId="0" fontId="33" fillId="2" borderId="49" xfId="0" applyFont="1" applyFill="1" applyBorder="1" applyAlignment="1">
      <alignment horizontal="right"/>
    </xf>
    <xf numFmtId="0" fontId="5" fillId="2" borderId="12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8" fillId="0" borderId="147" xfId="0" applyFont="1" applyBorder="1" applyAlignment="1">
      <alignment horizontal="center"/>
    </xf>
    <xf numFmtId="0" fontId="28" fillId="0" borderId="148" xfId="0" applyFont="1" applyBorder="1" applyAlignment="1">
      <alignment horizontal="center"/>
    </xf>
    <xf numFmtId="0" fontId="33" fillId="2" borderId="149" xfId="0" applyFont="1" applyFill="1" applyBorder="1" applyAlignment="1">
      <alignment horizontal="left"/>
    </xf>
    <xf numFmtId="0" fontId="33" fillId="2" borderId="52" xfId="0" applyFont="1" applyFill="1" applyBorder="1" applyAlignment="1">
      <alignment horizontal="left"/>
    </xf>
    <xf numFmtId="0" fontId="33" fillId="2" borderId="150" xfId="0" applyFont="1" applyFill="1" applyBorder="1" applyAlignment="1">
      <alignment horizontal="center"/>
    </xf>
    <xf numFmtId="0" fontId="33" fillId="2" borderId="54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151" xfId="0" applyFill="1" applyBorder="1" applyAlignment="1">
      <alignment horizontal="center"/>
    </xf>
    <xf numFmtId="0" fontId="0" fillId="2" borderId="150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26" fillId="10" borderId="121" xfId="0" applyFont="1" applyFill="1" applyBorder="1" applyAlignment="1">
      <alignment horizontal="center" vertical="center"/>
    </xf>
    <xf numFmtId="0" fontId="26" fillId="10" borderId="122" xfId="0" applyFont="1" applyFill="1" applyBorder="1" applyAlignment="1">
      <alignment horizontal="center" vertical="center"/>
    </xf>
    <xf numFmtId="0" fontId="26" fillId="10" borderId="130" xfId="0" applyFont="1" applyFill="1" applyBorder="1" applyAlignment="1">
      <alignment horizontal="center" vertical="center"/>
    </xf>
    <xf numFmtId="0" fontId="26" fillId="10" borderId="117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58" xfId="0" applyFont="1" applyFill="1" applyBorder="1" applyAlignment="1">
      <alignment horizontal="center" vertical="center"/>
    </xf>
    <xf numFmtId="0" fontId="26" fillId="10" borderId="136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/>
    </xf>
    <xf numFmtId="0" fontId="26" fillId="10" borderId="137" xfId="0" applyFont="1" applyFill="1" applyBorder="1" applyAlignment="1">
      <alignment horizontal="center" vertical="center"/>
    </xf>
    <xf numFmtId="0" fontId="5" fillId="2" borderId="152" xfId="0" applyFont="1" applyFill="1" applyBorder="1" applyAlignment="1">
      <alignment horizontal="center"/>
    </xf>
    <xf numFmtId="0" fontId="0" fillId="2" borderId="146" xfId="0" applyFill="1" applyBorder="1" applyAlignment="1">
      <alignment horizontal="right"/>
    </xf>
    <xf numFmtId="0" fontId="0" fillId="2" borderId="49" xfId="0" applyFill="1" applyBorder="1" applyAlignment="1">
      <alignment horizontal="right"/>
    </xf>
    <xf numFmtId="0" fontId="0" fillId="2" borderId="88" xfId="0" applyFill="1" applyBorder="1" applyAlignment="1">
      <alignment horizontal="left"/>
    </xf>
    <xf numFmtId="0" fontId="0" fillId="2" borderId="52" xfId="0" applyFill="1" applyBorder="1" applyAlignment="1">
      <alignment horizontal="left"/>
    </xf>
    <xf numFmtId="0" fontId="28" fillId="0" borderId="128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31" fillId="2" borderId="4" xfId="20" applyFont="1" applyFill="1" applyBorder="1" applyAlignment="1">
      <alignment horizontal="center" vertical="center"/>
    </xf>
    <xf numFmtId="0" fontId="31" fillId="2" borderId="3" xfId="20" applyFont="1" applyFill="1" applyBorder="1" applyAlignment="1">
      <alignment horizontal="center" vertical="center"/>
    </xf>
    <xf numFmtId="0" fontId="31" fillId="2" borderId="9" xfId="20" applyFont="1" applyFill="1" applyBorder="1" applyAlignment="1">
      <alignment horizontal="center" vertical="center"/>
    </xf>
    <xf numFmtId="0" fontId="31" fillId="2" borderId="8" xfId="20" applyFont="1" applyFill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8" fillId="4" borderId="2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0" fillId="2" borderId="112" xfId="20" applyFont="1" applyFill="1" applyBorder="1" applyAlignment="1">
      <alignment horizontal="center"/>
    </xf>
    <xf numFmtId="0" fontId="30" fillId="2" borderId="114" xfId="2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9" xfId="0" applyFill="1" applyBorder="1" applyAlignment="1">
      <alignment horizontal="right"/>
    </xf>
    <xf numFmtId="0" fontId="0" fillId="2" borderId="150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154" xfId="0" applyFill="1" applyBorder="1" applyAlignment="1">
      <alignment horizontal="right"/>
    </xf>
    <xf numFmtId="0" fontId="0" fillId="2" borderId="69" xfId="0" applyFill="1" applyBorder="1" applyAlignment="1">
      <alignment horizontal="right"/>
    </xf>
    <xf numFmtId="0" fontId="0" fillId="2" borderId="7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5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 wrapText="1"/>
    </xf>
    <xf numFmtId="0" fontId="0" fillId="3" borderId="144" xfId="0" applyFont="1" applyFill="1" applyBorder="1" applyAlignment="1">
      <alignment horizontal="center" wrapText="1"/>
    </xf>
    <xf numFmtId="0" fontId="0" fillId="3" borderId="87" xfId="0" applyFont="1" applyFill="1" applyBorder="1" applyAlignment="1">
      <alignment horizontal="center" wrapText="1"/>
    </xf>
    <xf numFmtId="0" fontId="0" fillId="0" borderId="84" xfId="0" applyBorder="1" applyAlignment="1">
      <alignment horizontal="right"/>
    </xf>
    <xf numFmtId="0" fontId="0" fillId="0" borderId="72" xfId="0" applyBorder="1" applyAlignment="1">
      <alignment horizontal="right"/>
    </xf>
    <xf numFmtId="0" fontId="5" fillId="0" borderId="84" xfId="0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0" fillId="0" borderId="73" xfId="0" applyBorder="1" applyAlignment="1">
      <alignment horizontal="right"/>
    </xf>
    <xf numFmtId="0" fontId="0" fillId="2" borderId="145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87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33" fillId="2" borderId="5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0" fontId="0" fillId="3" borderId="14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right"/>
    </xf>
    <xf numFmtId="0" fontId="33" fillId="2" borderId="10" xfId="0" applyFont="1" applyFill="1" applyBorder="1" applyAlignment="1">
      <alignment horizontal="right"/>
    </xf>
    <xf numFmtId="0" fontId="33" fillId="2" borderId="155" xfId="0" applyFont="1" applyFill="1" applyBorder="1" applyAlignment="1">
      <alignment horizontal="right"/>
    </xf>
    <xf numFmtId="0" fontId="33" fillId="2" borderId="156" xfId="0" applyFont="1" applyFill="1" applyBorder="1" applyAlignment="1">
      <alignment horizontal="right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5" fillId="3" borderId="157" xfId="0" applyFont="1" applyFill="1" applyBorder="1" applyAlignment="1">
      <alignment horizontal="center" vertical="center" wrapText="1"/>
    </xf>
    <xf numFmtId="0" fontId="25" fillId="3" borderId="158" xfId="0" applyFont="1" applyFill="1" applyBorder="1" applyAlignment="1">
      <alignment horizontal="center" vertical="center" wrapText="1"/>
    </xf>
    <xf numFmtId="0" fontId="25" fillId="3" borderId="159" xfId="0" applyFont="1" applyFill="1" applyBorder="1" applyAlignment="1">
      <alignment horizontal="center" vertical="center" wrapText="1"/>
    </xf>
    <xf numFmtId="0" fontId="38" fillId="4" borderId="111" xfId="0" applyFont="1" applyFill="1" applyBorder="1" applyAlignment="1">
      <alignment horizontal="center" vertical="center"/>
    </xf>
    <xf numFmtId="0" fontId="38" fillId="4" borderId="16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ODAKI &amp; FASIH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نمودار هزینه استهلا ک سالانه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915"/>
          <c:w val="0.583"/>
          <c:h val="0.62625"/>
        </c:manualLayout>
      </c:layout>
      <c:lineChart>
        <c:grouping val="standard"/>
        <c:varyColors val="0"/>
        <c:ser>
          <c:idx val="0"/>
          <c:order val="0"/>
          <c:tx>
            <c:strRef>
              <c:f>'اصول حسابداری 2،1و3'!$W$34</c:f>
              <c:strCache>
                <c:ptCount val="1"/>
                <c:pt idx="0">
                  <c:v>خط مستقیم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'اصول حسابداری 2،1و3'!$V$35:$V$44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2،1و3'!$W$35:$W$44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'اصول حسابداری 2،1و3'!$X$34</c:f>
              <c:strCache>
                <c:ptCount val="1"/>
                <c:pt idx="0">
                  <c:v>مانده نزولی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'اصول حسابداری 2،1و3'!$V$35:$V$44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2،1و3'!$X$35:$X$44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'اصول حسابداری 2،1و3'!$Y$34</c:f>
              <c:strCache>
                <c:ptCount val="1"/>
                <c:pt idx="0">
                  <c:v>ارقام سنوات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'اصول حسابداری 2،1و3'!$V$35:$V$44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2،1و3'!$Y$35:$Y$44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'اصول حسابداری 2،1و3'!$Z$34</c:f>
              <c:strCache>
                <c:ptCount val="1"/>
                <c:pt idx="0">
                  <c:v>تعاد تولید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'اصول حسابداری 2،1و3'!$V$35:$V$44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2،1و3'!$Z$35:$Z$44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'اصول حسابداری 2،1و3'!$AA$34</c:f>
              <c:strCache>
                <c:ptCount val="1"/>
                <c:pt idx="0">
                  <c:v>ساعات کارکرد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'اصول حسابداری 2،1و3'!$V$35:$V$44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2،1و3'!$AA$35:$AA$44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7203539"/>
        <c:axId val="64831852"/>
      </c:lineChart>
      <c:catAx>
        <c:axId val="720353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سال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48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نمودار هزینه استهلاک به روش خط مستقیم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'اصول حسابداری 2،1و3'!$J$35</c:f>
              <c:strCache>
                <c:ptCount val="1"/>
                <c:pt idx="0">
                  <c:v>هزینه استهلاک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'اصول حسابداری 2،1و3'!$I$36:$I$45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2،1و3'!$J$36:$J$45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سال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نمودار هزینه استهلاک به روش مانده نزولی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'اصول حسابداری 2،1و3'!$J$35</c:f>
              <c:strCache>
                <c:ptCount val="1"/>
                <c:pt idx="0">
                  <c:v>هزینه استهلاک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'اصول حسابداری 2،1و3'!$I$50:$I$59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2،1و3'!$J$50:$J$59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سال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نمودار هزینه استهلاک به روش مجموع ارقام سنوات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'اصول حسابداری 2،1و3'!$J$35</c:f>
              <c:strCache>
                <c:ptCount val="1"/>
                <c:pt idx="0">
                  <c:v>هزینه استهلاک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'اصول حسابداری 2،1و3'!$I$64:$I$73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'اصول حسابداری 2،1و3'!$J$64:$J$73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سال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نمودار هزینه استهلاک به روش تعداد تولید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'اصول حسابداری 2،1و3'!$J$35</c:f>
              <c:strCache>
                <c:ptCount val="1"/>
                <c:pt idx="0">
                  <c:v>هزینه استهلاک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'اصول حسابداری 2،1و3'!$I$78:$I$86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'اصول حسابداری 2،1و3'!$J$78:$J$86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سال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نمودار هزینه استهلاک به روش ساعت کارکرد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'اصول حسابداری 2،1و3'!$J$35</c:f>
              <c:strCache>
                <c:ptCount val="1"/>
                <c:pt idx="0">
                  <c:v>هزینه استهلاک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'اصول حسابداری 2،1و3'!$I$92:$I$100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'اصول حسابداری 2،1و3'!$J$92:$J$100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سال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ریال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190500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171450"/>
          <a:ext cx="5676900" cy="4076700"/>
        </a:xfrm>
        <a:prstGeom prst="rect">
          <a:avLst/>
        </a:prstGeom>
        <a:noFill/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46</xdr:row>
      <xdr:rowOff>28575</xdr:rowOff>
    </xdr:from>
    <xdr:to>
      <xdr:col>28</xdr:col>
      <xdr:colOff>9525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14363700" y="9039225"/>
        <a:ext cx="59340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32</xdr:row>
      <xdr:rowOff>85725</xdr:rowOff>
    </xdr:from>
    <xdr:to>
      <xdr:col>19</xdr:col>
      <xdr:colOff>161925</xdr:colOff>
      <xdr:row>45</xdr:row>
      <xdr:rowOff>180975</xdr:rowOff>
    </xdr:to>
    <xdr:graphicFrame>
      <xdr:nvGraphicFramePr>
        <xdr:cNvPr id="2" name="Chart 2"/>
        <xdr:cNvGraphicFramePr/>
      </xdr:nvGraphicFramePr>
      <xdr:xfrm>
        <a:off x="9048750" y="6505575"/>
        <a:ext cx="4895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46</xdr:row>
      <xdr:rowOff>38100</xdr:rowOff>
    </xdr:from>
    <xdr:to>
      <xdr:col>19</xdr:col>
      <xdr:colOff>180975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9039225" y="9048750"/>
        <a:ext cx="49244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60</xdr:row>
      <xdr:rowOff>152400</xdr:rowOff>
    </xdr:from>
    <xdr:to>
      <xdr:col>19</xdr:col>
      <xdr:colOff>180975</xdr:colOff>
      <xdr:row>72</xdr:row>
      <xdr:rowOff>114300</xdr:rowOff>
    </xdr:to>
    <xdr:graphicFrame>
      <xdr:nvGraphicFramePr>
        <xdr:cNvPr id="4" name="Chart 4"/>
        <xdr:cNvGraphicFramePr/>
      </xdr:nvGraphicFramePr>
      <xdr:xfrm>
        <a:off x="9048750" y="11610975"/>
        <a:ext cx="49149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304800</xdr:colOff>
      <xdr:row>74</xdr:row>
      <xdr:rowOff>0</xdr:rowOff>
    </xdr:from>
    <xdr:to>
      <xdr:col>19</xdr:col>
      <xdr:colOff>180975</xdr:colOff>
      <xdr:row>86</xdr:row>
      <xdr:rowOff>66675</xdr:rowOff>
    </xdr:to>
    <xdr:graphicFrame>
      <xdr:nvGraphicFramePr>
        <xdr:cNvPr id="5" name="Chart 5"/>
        <xdr:cNvGraphicFramePr/>
      </xdr:nvGraphicFramePr>
      <xdr:xfrm>
        <a:off x="9058275" y="13735050"/>
        <a:ext cx="4905375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314325</xdr:colOff>
      <xdr:row>88</xdr:row>
      <xdr:rowOff>28575</xdr:rowOff>
    </xdr:from>
    <xdr:to>
      <xdr:col>19</xdr:col>
      <xdr:colOff>161925</xdr:colOff>
      <xdr:row>100</xdr:row>
      <xdr:rowOff>104775</xdr:rowOff>
    </xdr:to>
    <xdr:graphicFrame>
      <xdr:nvGraphicFramePr>
        <xdr:cNvPr id="6" name="Chart 6"/>
        <xdr:cNvGraphicFramePr/>
      </xdr:nvGraphicFramePr>
      <xdr:xfrm>
        <a:off x="9067800" y="16049625"/>
        <a:ext cx="4876800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rightToLeft="1" tabSelected="1" zoomScale="200" zoomScaleNormal="200" workbookViewId="0" topLeftCell="D1">
      <selection activeCell="I4" sqref="I4:J9"/>
    </sheetView>
  </sheetViews>
  <sheetFormatPr defaultColWidth="9.140625" defaultRowHeight="12.75"/>
  <cols>
    <col min="1" max="1" width="9.140625" style="462" customWidth="1"/>
    <col min="11" max="17" width="9.140625" style="462" customWidth="1"/>
  </cols>
  <sheetData>
    <row r="1" spans="2:10" ht="13.5" thickBot="1">
      <c r="B1" s="462"/>
      <c r="C1" s="462"/>
      <c r="D1" s="462"/>
      <c r="E1" s="462"/>
      <c r="F1" s="462"/>
      <c r="G1" s="462"/>
      <c r="H1" s="462"/>
      <c r="I1" s="462"/>
      <c r="J1" s="462"/>
    </row>
    <row r="2" spans="2:10" ht="13.5" thickTop="1">
      <c r="B2" s="495" t="s">
        <v>693</v>
      </c>
      <c r="C2" s="496"/>
      <c r="D2" s="496" t="s">
        <v>176</v>
      </c>
      <c r="E2" s="496" t="s">
        <v>148</v>
      </c>
      <c r="F2" s="496"/>
      <c r="G2" s="496"/>
      <c r="H2" s="496"/>
      <c r="I2" s="499" t="s">
        <v>686</v>
      </c>
      <c r="J2" s="500"/>
    </row>
    <row r="3" spans="2:10" ht="12.75">
      <c r="B3" s="497"/>
      <c r="C3" s="498"/>
      <c r="D3" s="498"/>
      <c r="E3" s="498"/>
      <c r="F3" s="498"/>
      <c r="G3" s="498"/>
      <c r="H3" s="498"/>
      <c r="I3" s="501"/>
      <c r="J3" s="502"/>
    </row>
    <row r="4" spans="2:10" ht="12.75">
      <c r="B4" s="503" t="s">
        <v>178</v>
      </c>
      <c r="C4" s="504"/>
      <c r="D4" s="447">
        <v>1</v>
      </c>
      <c r="E4" s="505" t="s">
        <v>177</v>
      </c>
      <c r="F4" s="505"/>
      <c r="G4" s="505"/>
      <c r="H4" s="505"/>
      <c r="I4" s="506" t="s">
        <v>687</v>
      </c>
      <c r="J4" s="507"/>
    </row>
    <row r="5" spans="2:10" ht="12.75">
      <c r="B5" s="503"/>
      <c r="C5" s="504"/>
      <c r="D5" s="448">
        <v>2</v>
      </c>
      <c r="E5" s="505" t="s">
        <v>181</v>
      </c>
      <c r="F5" s="505"/>
      <c r="G5" s="505"/>
      <c r="H5" s="505"/>
      <c r="I5" s="506"/>
      <c r="J5" s="507"/>
    </row>
    <row r="6" spans="2:10" ht="12.75">
      <c r="B6" s="503" t="s">
        <v>179</v>
      </c>
      <c r="C6" s="504"/>
      <c r="D6" s="448">
        <v>3</v>
      </c>
      <c r="E6" s="508" t="s">
        <v>184</v>
      </c>
      <c r="F6" s="508"/>
      <c r="G6" s="508"/>
      <c r="H6" s="508"/>
      <c r="I6" s="506"/>
      <c r="J6" s="507"/>
    </row>
    <row r="7" spans="2:10" ht="12.75">
      <c r="B7" s="503"/>
      <c r="C7" s="504"/>
      <c r="D7" s="448">
        <v>4</v>
      </c>
      <c r="E7" s="508" t="s">
        <v>183</v>
      </c>
      <c r="F7" s="508"/>
      <c r="G7" s="508"/>
      <c r="H7" s="508"/>
      <c r="I7" s="506"/>
      <c r="J7" s="507"/>
    </row>
    <row r="8" spans="2:10" ht="12.75">
      <c r="B8" s="503" t="s">
        <v>180</v>
      </c>
      <c r="C8" s="504"/>
      <c r="D8" s="448">
        <v>5</v>
      </c>
      <c r="E8" s="508" t="s">
        <v>579</v>
      </c>
      <c r="F8" s="508"/>
      <c r="G8" s="508"/>
      <c r="H8" s="508"/>
      <c r="I8" s="506"/>
      <c r="J8" s="507"/>
    </row>
    <row r="9" spans="2:10" ht="12.75">
      <c r="B9" s="503"/>
      <c r="C9" s="504"/>
      <c r="D9" s="448">
        <v>6</v>
      </c>
      <c r="E9" s="508" t="s">
        <v>353</v>
      </c>
      <c r="F9" s="508"/>
      <c r="G9" s="508"/>
      <c r="H9" s="508"/>
      <c r="I9" s="506"/>
      <c r="J9" s="507"/>
    </row>
    <row r="10" spans="2:10" ht="12.75">
      <c r="B10" s="509" t="s">
        <v>185</v>
      </c>
      <c r="C10" s="494"/>
      <c r="D10" s="450">
        <v>7</v>
      </c>
      <c r="E10" s="493" t="s">
        <v>259</v>
      </c>
      <c r="F10" s="493"/>
      <c r="G10" s="493"/>
      <c r="H10" s="493"/>
      <c r="I10" s="492" t="s">
        <v>688</v>
      </c>
      <c r="J10" s="491"/>
    </row>
    <row r="11" spans="2:10" ht="12.75">
      <c r="B11" s="509"/>
      <c r="C11" s="494"/>
      <c r="D11" s="450">
        <v>8</v>
      </c>
      <c r="E11" s="493" t="s">
        <v>353</v>
      </c>
      <c r="F11" s="493"/>
      <c r="G11" s="493"/>
      <c r="H11" s="493"/>
      <c r="I11" s="492"/>
      <c r="J11" s="491"/>
    </row>
    <row r="12" spans="2:10" ht="12.75">
      <c r="B12" s="509" t="s">
        <v>186</v>
      </c>
      <c r="C12" s="494"/>
      <c r="D12" s="450">
        <v>9</v>
      </c>
      <c r="E12" s="493" t="s">
        <v>429</v>
      </c>
      <c r="F12" s="493"/>
      <c r="G12" s="493"/>
      <c r="H12" s="493"/>
      <c r="I12" s="492"/>
      <c r="J12" s="491"/>
    </row>
    <row r="13" spans="2:10" ht="12.75">
      <c r="B13" s="509"/>
      <c r="C13" s="494"/>
      <c r="D13" s="450">
        <v>10</v>
      </c>
      <c r="E13" s="493" t="s">
        <v>430</v>
      </c>
      <c r="F13" s="493"/>
      <c r="G13" s="493"/>
      <c r="H13" s="493"/>
      <c r="I13" s="492"/>
      <c r="J13" s="491"/>
    </row>
    <row r="14" spans="2:10" ht="12.75">
      <c r="B14" s="509" t="s">
        <v>187</v>
      </c>
      <c r="C14" s="494"/>
      <c r="D14" s="450">
        <v>11</v>
      </c>
      <c r="E14" s="493" t="s">
        <v>354</v>
      </c>
      <c r="F14" s="493"/>
      <c r="G14" s="493"/>
      <c r="H14" s="493"/>
      <c r="I14" s="492"/>
      <c r="J14" s="491"/>
    </row>
    <row r="15" spans="2:10" ht="12.75">
      <c r="B15" s="509"/>
      <c r="C15" s="494"/>
      <c r="D15" s="450">
        <v>12</v>
      </c>
      <c r="E15" s="493" t="s">
        <v>355</v>
      </c>
      <c r="F15" s="493"/>
      <c r="G15" s="493"/>
      <c r="H15" s="493"/>
      <c r="I15" s="492"/>
      <c r="J15" s="491"/>
    </row>
    <row r="16" spans="2:10" ht="12.75">
      <c r="B16" s="503" t="s">
        <v>188</v>
      </c>
      <c r="C16" s="504"/>
      <c r="D16" s="448">
        <v>13</v>
      </c>
      <c r="E16" s="508" t="s">
        <v>428</v>
      </c>
      <c r="F16" s="508"/>
      <c r="G16" s="508"/>
      <c r="H16" s="508"/>
      <c r="I16" s="506" t="s">
        <v>689</v>
      </c>
      <c r="J16" s="507"/>
    </row>
    <row r="17" spans="2:10" ht="12.75">
      <c r="B17" s="503"/>
      <c r="C17" s="504"/>
      <c r="D17" s="448">
        <v>14</v>
      </c>
      <c r="E17" s="508" t="s">
        <v>642</v>
      </c>
      <c r="F17" s="508"/>
      <c r="G17" s="508"/>
      <c r="H17" s="508"/>
      <c r="I17" s="506"/>
      <c r="J17" s="507"/>
    </row>
    <row r="18" spans="2:10" ht="12.75">
      <c r="B18" s="503" t="s">
        <v>189</v>
      </c>
      <c r="C18" s="504"/>
      <c r="D18" s="448">
        <v>15</v>
      </c>
      <c r="E18" s="508" t="s">
        <v>427</v>
      </c>
      <c r="F18" s="508"/>
      <c r="G18" s="508"/>
      <c r="H18" s="508"/>
      <c r="I18" s="506"/>
      <c r="J18" s="507"/>
    </row>
    <row r="19" spans="2:10" ht="12.75">
      <c r="B19" s="503"/>
      <c r="C19" s="504"/>
      <c r="D19" s="448">
        <v>16</v>
      </c>
      <c r="E19" s="508" t="s">
        <v>641</v>
      </c>
      <c r="F19" s="508"/>
      <c r="G19" s="508"/>
      <c r="H19" s="508"/>
      <c r="I19" s="506"/>
      <c r="J19" s="507"/>
    </row>
    <row r="20" spans="2:10" ht="12.75">
      <c r="B20" s="509" t="s">
        <v>190</v>
      </c>
      <c r="C20" s="494"/>
      <c r="D20" s="450">
        <v>17</v>
      </c>
      <c r="E20" s="493" t="s">
        <v>194</v>
      </c>
      <c r="F20" s="493"/>
      <c r="G20" s="493"/>
      <c r="H20" s="493"/>
      <c r="I20" s="492" t="s">
        <v>690</v>
      </c>
      <c r="J20" s="491"/>
    </row>
    <row r="21" spans="2:10" ht="12.75">
      <c r="B21" s="509"/>
      <c r="C21" s="494"/>
      <c r="D21" s="450">
        <v>18</v>
      </c>
      <c r="E21" s="493" t="s">
        <v>195</v>
      </c>
      <c r="F21" s="493"/>
      <c r="G21" s="493"/>
      <c r="H21" s="493"/>
      <c r="I21" s="492"/>
      <c r="J21" s="491"/>
    </row>
    <row r="22" spans="2:10" ht="12.75">
      <c r="B22" s="509" t="s">
        <v>191</v>
      </c>
      <c r="C22" s="494"/>
      <c r="D22" s="450">
        <v>19</v>
      </c>
      <c r="E22" s="493" t="s">
        <v>639</v>
      </c>
      <c r="F22" s="493"/>
      <c r="G22" s="493"/>
      <c r="H22" s="493"/>
      <c r="I22" s="492"/>
      <c r="J22" s="491"/>
    </row>
    <row r="23" spans="2:10" ht="12.75">
      <c r="B23" s="509"/>
      <c r="C23" s="494"/>
      <c r="D23" s="450">
        <v>20</v>
      </c>
      <c r="E23" s="493" t="s">
        <v>640</v>
      </c>
      <c r="F23" s="493"/>
      <c r="G23" s="493"/>
      <c r="H23" s="493"/>
      <c r="I23" s="492"/>
      <c r="J23" s="491"/>
    </row>
    <row r="24" spans="2:10" ht="12.75">
      <c r="B24" s="503" t="s">
        <v>643</v>
      </c>
      <c r="C24" s="504"/>
      <c r="D24" s="448">
        <v>21</v>
      </c>
      <c r="E24" s="508" t="s">
        <v>692</v>
      </c>
      <c r="F24" s="508"/>
      <c r="G24" s="508"/>
      <c r="H24" s="508"/>
      <c r="I24" s="506" t="s">
        <v>691</v>
      </c>
      <c r="J24" s="507"/>
    </row>
    <row r="25" spans="2:10" ht="13.5" thickBot="1">
      <c r="B25" s="490"/>
      <c r="C25" s="489"/>
      <c r="D25" s="449">
        <v>22</v>
      </c>
      <c r="E25" s="485" t="s">
        <v>694</v>
      </c>
      <c r="F25" s="485"/>
      <c r="G25" s="485"/>
      <c r="H25" s="485"/>
      <c r="I25" s="483"/>
      <c r="J25" s="484"/>
    </row>
    <row r="26" spans="2:10" ht="13.5" thickTop="1">
      <c r="B26" s="462"/>
      <c r="C26" s="462"/>
      <c r="D26" s="462"/>
      <c r="E26" s="462"/>
      <c r="F26" s="462"/>
      <c r="G26" s="462"/>
      <c r="H26" s="462"/>
      <c r="I26" s="462"/>
      <c r="J26" s="462"/>
    </row>
    <row r="27" spans="2:10" ht="12.75">
      <c r="B27" s="462"/>
      <c r="C27" s="462"/>
      <c r="D27" s="462"/>
      <c r="E27" s="462"/>
      <c r="F27" s="462"/>
      <c r="G27" s="462"/>
      <c r="H27" s="462"/>
      <c r="I27" s="462"/>
      <c r="J27" s="462"/>
    </row>
    <row r="28" spans="2:10" ht="12.75">
      <c r="B28" s="462"/>
      <c r="C28" s="462"/>
      <c r="D28" s="462"/>
      <c r="E28" s="462"/>
      <c r="F28" s="462"/>
      <c r="G28" s="462"/>
      <c r="H28" s="462"/>
      <c r="I28" s="462"/>
      <c r="J28" s="462"/>
    </row>
    <row r="29" spans="2:10" ht="12.75">
      <c r="B29" s="462"/>
      <c r="C29" s="462"/>
      <c r="D29" s="462"/>
      <c r="E29" s="462"/>
      <c r="F29" s="462"/>
      <c r="G29" s="462"/>
      <c r="H29" s="462"/>
      <c r="I29" s="462"/>
      <c r="J29" s="462"/>
    </row>
    <row r="30" spans="2:10" ht="12.75">
      <c r="B30" s="462"/>
      <c r="C30" s="462"/>
      <c r="D30" s="462"/>
      <c r="E30" s="462"/>
      <c r="F30" s="462"/>
      <c r="G30" s="462"/>
      <c r="H30" s="462"/>
      <c r="I30" s="462"/>
      <c r="J30" s="462"/>
    </row>
    <row r="31" spans="2:10" ht="12.75">
      <c r="B31" s="462"/>
      <c r="C31" s="462"/>
      <c r="D31" s="462"/>
      <c r="E31" s="462"/>
      <c r="F31" s="462"/>
      <c r="G31" s="462"/>
      <c r="H31" s="462"/>
      <c r="I31" s="462"/>
      <c r="J31" s="462"/>
    </row>
    <row r="32" spans="2:10" ht="12.75">
      <c r="B32" s="462"/>
      <c r="C32" s="462"/>
      <c r="D32" s="462"/>
      <c r="E32" s="462"/>
      <c r="F32" s="462"/>
      <c r="G32" s="462"/>
      <c r="H32" s="462"/>
      <c r="I32" s="462"/>
      <c r="J32" s="462"/>
    </row>
    <row r="33" s="462" customFormat="1" ht="12.75"/>
    <row r="34" s="462" customFormat="1" ht="12.75"/>
  </sheetData>
  <mergeCells count="42">
    <mergeCell ref="B24:C25"/>
    <mergeCell ref="E24:H24"/>
    <mergeCell ref="I24:J25"/>
    <mergeCell ref="E25:H25"/>
    <mergeCell ref="B20:C21"/>
    <mergeCell ref="E20:H20"/>
    <mergeCell ref="I20:J23"/>
    <mergeCell ref="E21:H21"/>
    <mergeCell ref="B22:C23"/>
    <mergeCell ref="E22:H22"/>
    <mergeCell ref="E23:H23"/>
    <mergeCell ref="B16:C17"/>
    <mergeCell ref="E16:H16"/>
    <mergeCell ref="I16:J19"/>
    <mergeCell ref="E17:H17"/>
    <mergeCell ref="B18:C19"/>
    <mergeCell ref="E18:H18"/>
    <mergeCell ref="E19:H19"/>
    <mergeCell ref="B10:C11"/>
    <mergeCell ref="E10:H10"/>
    <mergeCell ref="I10:J15"/>
    <mergeCell ref="E11:H11"/>
    <mergeCell ref="B12:C13"/>
    <mergeCell ref="E12:H12"/>
    <mergeCell ref="E13:H13"/>
    <mergeCell ref="B14:C15"/>
    <mergeCell ref="E14:H14"/>
    <mergeCell ref="E15:H15"/>
    <mergeCell ref="B4:C5"/>
    <mergeCell ref="E4:H4"/>
    <mergeCell ref="I4:J9"/>
    <mergeCell ref="E5:H5"/>
    <mergeCell ref="B6:C7"/>
    <mergeCell ref="E6:H6"/>
    <mergeCell ref="E7:H7"/>
    <mergeCell ref="B8:C9"/>
    <mergeCell ref="E8:H8"/>
    <mergeCell ref="E9:H9"/>
    <mergeCell ref="B2:C3"/>
    <mergeCell ref="D2:D3"/>
    <mergeCell ref="E2:H3"/>
    <mergeCell ref="I2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G102"/>
  <sheetViews>
    <sheetView rightToLeft="1" zoomScale="75" zoomScaleNormal="75" workbookViewId="0" topLeftCell="B1">
      <selection activeCell="D33" sqref="D3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0.28125" style="45" bestFit="1" customWidth="1"/>
    <col min="4" max="4" width="10.421875" style="45" bestFit="1" customWidth="1"/>
    <col min="5" max="5" width="11.28125" style="45" customWidth="1"/>
    <col min="6" max="9" width="9.140625" style="1" customWidth="1"/>
    <col min="10" max="11" width="10.7109375" style="1" bestFit="1" customWidth="1"/>
    <col min="12" max="14" width="12.140625" style="1" bestFit="1" customWidth="1"/>
    <col min="15" max="16" width="9.140625" style="1" customWidth="1"/>
    <col min="17" max="17" width="9.28125" style="1" bestFit="1" customWidth="1"/>
    <col min="18" max="18" width="10.8515625" style="1" bestFit="1" customWidth="1"/>
    <col min="19" max="19" width="12.7109375" style="1" bestFit="1" customWidth="1"/>
    <col min="20" max="20" width="11.28125" style="1" bestFit="1" customWidth="1"/>
    <col min="21" max="21" width="11.00390625" style="1" customWidth="1"/>
    <col min="22" max="22" width="9.140625" style="1" customWidth="1"/>
    <col min="23" max="23" width="10.7109375" style="1" bestFit="1" customWidth="1"/>
    <col min="24" max="24" width="12.57421875" style="1" bestFit="1" customWidth="1"/>
    <col min="25" max="29" width="10.7109375" style="1" bestFit="1" customWidth="1"/>
    <col min="30" max="36" width="9.140625" style="1" customWidth="1"/>
    <col min="37" max="41" width="9.28125" style="1" bestFit="1" customWidth="1"/>
    <col min="42" max="42" width="9.8515625" style="1" bestFit="1" customWidth="1"/>
    <col min="43" max="16384" width="9.140625" style="1" customWidth="1"/>
  </cols>
  <sheetData>
    <row r="1" ht="14.25" customHeight="1" thickBot="1">
      <c r="V1" s="2"/>
    </row>
    <row r="2" spans="2:59" ht="13.5" customHeight="1" thickBot="1">
      <c r="B2" s="156" t="s">
        <v>98</v>
      </c>
      <c r="C2" s="165"/>
      <c r="D2" s="165"/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4"/>
      <c r="AE2" s="538" t="s">
        <v>100</v>
      </c>
      <c r="AF2" s="535"/>
      <c r="AG2" s="157"/>
      <c r="AH2" s="157"/>
      <c r="AI2" s="157"/>
      <c r="AJ2" s="157"/>
      <c r="AK2" s="157"/>
      <c r="AL2" s="157"/>
      <c r="AM2" s="157"/>
      <c r="AN2" s="157"/>
      <c r="AO2" s="158"/>
      <c r="AQ2" s="420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4"/>
    </row>
    <row r="3" spans="2:59" ht="18.75" thickBot="1">
      <c r="B3" s="167"/>
      <c r="C3" s="541" t="s">
        <v>0</v>
      </c>
      <c r="D3" s="541" t="s">
        <v>1</v>
      </c>
      <c r="E3" s="541" t="s">
        <v>2</v>
      </c>
      <c r="F3" s="2"/>
      <c r="G3" s="525" t="s">
        <v>18</v>
      </c>
      <c r="H3" s="526"/>
      <c r="I3" s="526"/>
      <c r="J3" s="526"/>
      <c r="K3" s="526"/>
      <c r="L3" s="526"/>
      <c r="M3" s="526"/>
      <c r="N3" s="527"/>
      <c r="O3" s="2"/>
      <c r="P3" s="513" t="s">
        <v>18</v>
      </c>
      <c r="Q3" s="514"/>
      <c r="R3" s="514"/>
      <c r="S3" s="514"/>
      <c r="T3" s="514"/>
      <c r="U3" s="515"/>
      <c r="V3" s="2"/>
      <c r="W3" s="2"/>
      <c r="X3" s="2"/>
      <c r="Y3" s="2"/>
      <c r="Z3" s="2"/>
      <c r="AA3" s="2"/>
      <c r="AB3" s="2"/>
      <c r="AC3" s="23"/>
      <c r="AE3" s="539"/>
      <c r="AF3" s="540"/>
      <c r="AG3" s="56"/>
      <c r="AH3" s="56"/>
      <c r="AI3" s="56"/>
      <c r="AJ3" s="56"/>
      <c r="AK3" s="56"/>
      <c r="AL3" s="56"/>
      <c r="AM3" s="56"/>
      <c r="AN3" s="56"/>
      <c r="AO3" s="160"/>
      <c r="AQ3" s="167"/>
      <c r="AR3" s="534" t="s">
        <v>554</v>
      </c>
      <c r="AS3" s="535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/>
    </row>
    <row r="4" spans="2:59" ht="16.5" thickBot="1">
      <c r="B4" s="167"/>
      <c r="C4" s="542"/>
      <c r="D4" s="541"/>
      <c r="E4" s="541"/>
      <c r="F4" s="2"/>
      <c r="G4" s="528" t="s">
        <v>19</v>
      </c>
      <c r="H4" s="529"/>
      <c r="I4" s="529"/>
      <c r="J4" s="529"/>
      <c r="K4" s="529"/>
      <c r="L4" s="529"/>
      <c r="M4" s="529"/>
      <c r="N4" s="530"/>
      <c r="O4" s="2"/>
      <c r="P4" s="516" t="s">
        <v>20</v>
      </c>
      <c r="Q4" s="517"/>
      <c r="R4" s="517"/>
      <c r="S4" s="517"/>
      <c r="T4" s="517"/>
      <c r="U4" s="518"/>
      <c r="V4" s="2"/>
      <c r="W4" s="2"/>
      <c r="X4" s="2"/>
      <c r="Y4" s="2"/>
      <c r="Z4" s="2"/>
      <c r="AA4" s="2"/>
      <c r="AB4" s="2"/>
      <c r="AC4" s="23"/>
      <c r="AE4" s="159"/>
      <c r="AF4" s="472" t="s">
        <v>81</v>
      </c>
      <c r="AG4" s="473"/>
      <c r="AH4" s="473"/>
      <c r="AI4" s="473"/>
      <c r="AJ4" s="473"/>
      <c r="AK4" s="473"/>
      <c r="AL4" s="473"/>
      <c r="AM4" s="473"/>
      <c r="AN4" s="474"/>
      <c r="AO4" s="160"/>
      <c r="AQ4" s="167"/>
      <c r="AR4" s="536"/>
      <c r="AS4" s="537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3"/>
    </row>
    <row r="5" spans="2:59" ht="16.5" thickBot="1">
      <c r="B5" s="167"/>
      <c r="C5" s="43" t="s">
        <v>3</v>
      </c>
      <c r="D5" s="44">
        <v>1259200</v>
      </c>
      <c r="E5" s="44"/>
      <c r="F5" s="2"/>
      <c r="G5" s="522" t="s">
        <v>23</v>
      </c>
      <c r="H5" s="523"/>
      <c r="I5" s="523"/>
      <c r="J5" s="523"/>
      <c r="K5" s="523"/>
      <c r="L5" s="523"/>
      <c r="M5" s="523"/>
      <c r="N5" s="524"/>
      <c r="O5" s="2"/>
      <c r="P5" s="519" t="s">
        <v>23</v>
      </c>
      <c r="Q5" s="520"/>
      <c r="R5" s="520"/>
      <c r="S5" s="520"/>
      <c r="T5" s="520"/>
      <c r="U5" s="521"/>
      <c r="V5" s="2"/>
      <c r="W5" s="2"/>
      <c r="X5" s="2"/>
      <c r="Y5" s="2"/>
      <c r="Z5" s="2"/>
      <c r="AA5" s="2"/>
      <c r="AB5" s="2"/>
      <c r="AC5" s="23"/>
      <c r="AE5" s="159"/>
      <c r="AF5" s="475" t="s">
        <v>82</v>
      </c>
      <c r="AG5" s="465"/>
      <c r="AH5" s="465"/>
      <c r="AI5" s="465"/>
      <c r="AJ5" s="465"/>
      <c r="AK5" s="465"/>
      <c r="AL5" s="465"/>
      <c r="AM5" s="465"/>
      <c r="AN5" s="466"/>
      <c r="AO5" s="160"/>
      <c r="AQ5" s="167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3"/>
    </row>
    <row r="6" spans="2:59" ht="16.5" thickBot="1">
      <c r="B6" s="167"/>
      <c r="C6" s="43" t="s">
        <v>4</v>
      </c>
      <c r="D6" s="44">
        <v>2868000</v>
      </c>
      <c r="E6" s="44"/>
      <c r="F6" s="2"/>
      <c r="G6" s="443" t="str">
        <f>C16</f>
        <v>فروش</v>
      </c>
      <c r="H6" s="5"/>
      <c r="I6" s="5"/>
      <c r="J6" s="5"/>
      <c r="K6" s="5"/>
      <c r="L6" s="5"/>
      <c r="M6" s="5"/>
      <c r="N6" s="6">
        <f>E16</f>
        <v>1752000</v>
      </c>
      <c r="O6" s="2"/>
      <c r="P6" s="4" t="s">
        <v>25</v>
      </c>
      <c r="Q6" s="5"/>
      <c r="R6" s="5"/>
      <c r="S6" s="5"/>
      <c r="T6" s="5"/>
      <c r="U6" s="6">
        <f>E14</f>
        <v>3160000</v>
      </c>
      <c r="V6" s="2"/>
      <c r="W6" s="2"/>
      <c r="X6" s="2"/>
      <c r="Y6" s="2"/>
      <c r="Z6" s="2"/>
      <c r="AA6" s="2"/>
      <c r="AB6" s="2"/>
      <c r="AC6" s="23"/>
      <c r="AE6" s="159"/>
      <c r="AF6" s="467" t="s">
        <v>83</v>
      </c>
      <c r="AG6" s="463"/>
      <c r="AH6" s="463"/>
      <c r="AI6" s="463"/>
      <c r="AJ6" s="463"/>
      <c r="AK6" s="463"/>
      <c r="AL6" s="463"/>
      <c r="AM6" s="463"/>
      <c r="AN6" s="464"/>
      <c r="AO6" s="160"/>
      <c r="AQ6" s="167"/>
      <c r="AR6" s="470" t="s">
        <v>556</v>
      </c>
      <c r="AS6" s="471" t="s">
        <v>556</v>
      </c>
      <c r="AT6" s="471" t="s">
        <v>556</v>
      </c>
      <c r="AU6" s="471" t="s">
        <v>556</v>
      </c>
      <c r="AV6" s="344"/>
      <c r="AW6" s="344"/>
      <c r="AX6" s="344"/>
      <c r="AY6" s="344"/>
      <c r="AZ6" s="392">
        <f>AZ23+AZ24</f>
        <v>398000</v>
      </c>
      <c r="BA6" s="2"/>
      <c r="BB6" s="2"/>
      <c r="BC6" s="2"/>
      <c r="BD6" s="2"/>
      <c r="BE6" s="2"/>
      <c r="BF6" s="2"/>
      <c r="BG6" s="23"/>
    </row>
    <row r="7" spans="2:59" ht="15">
      <c r="B7" s="167"/>
      <c r="C7" s="43" t="s">
        <v>22</v>
      </c>
      <c r="D7" s="44">
        <v>504000</v>
      </c>
      <c r="E7" s="44"/>
      <c r="F7" s="2"/>
      <c r="G7" s="10" t="str">
        <f>C17</f>
        <v>برگشت از فروش</v>
      </c>
      <c r="H7" s="3"/>
      <c r="I7" s="3"/>
      <c r="J7" s="3"/>
      <c r="K7" s="3"/>
      <c r="L7" s="3"/>
      <c r="M7" s="9">
        <f>D17</f>
        <v>72000</v>
      </c>
      <c r="N7" s="12"/>
      <c r="O7" s="2"/>
      <c r="P7" s="10" t="s">
        <v>28</v>
      </c>
      <c r="Q7" s="3"/>
      <c r="R7" s="3"/>
      <c r="S7" s="3"/>
      <c r="T7" s="3"/>
      <c r="U7" s="11"/>
      <c r="V7" s="2"/>
      <c r="W7" s="2"/>
      <c r="X7" s="2"/>
      <c r="Y7" s="2"/>
      <c r="Z7" s="2"/>
      <c r="AA7" s="2"/>
      <c r="AB7" s="2"/>
      <c r="AC7" s="23"/>
      <c r="AE7" s="159"/>
      <c r="AF7" s="48" t="s">
        <v>84</v>
      </c>
      <c r="AG7" s="27"/>
      <c r="AH7" s="27"/>
      <c r="AI7" s="27"/>
      <c r="AJ7" s="27"/>
      <c r="AK7" s="27"/>
      <c r="AL7" s="27"/>
      <c r="AM7" s="27"/>
      <c r="AN7" s="28"/>
      <c r="AO7" s="160"/>
      <c r="AQ7" s="167"/>
      <c r="AR7" s="477" t="s">
        <v>557</v>
      </c>
      <c r="AS7" s="478" t="s">
        <v>557</v>
      </c>
      <c r="AT7" s="478" t="s">
        <v>557</v>
      </c>
      <c r="AU7" s="478" t="s">
        <v>557</v>
      </c>
      <c r="AV7" s="229"/>
      <c r="AW7" s="229"/>
      <c r="AX7" s="229"/>
      <c r="AY7" s="229"/>
      <c r="AZ7" s="230"/>
      <c r="BA7" s="2"/>
      <c r="BB7" s="2"/>
      <c r="BC7" s="2"/>
      <c r="BD7" s="2"/>
      <c r="BE7" s="2"/>
      <c r="BF7" s="2"/>
      <c r="BG7" s="23"/>
    </row>
    <row r="8" spans="2:59" ht="15">
      <c r="B8" s="167"/>
      <c r="C8" s="43" t="s">
        <v>24</v>
      </c>
      <c r="D8" s="44">
        <v>160000</v>
      </c>
      <c r="E8" s="44"/>
      <c r="F8" s="2"/>
      <c r="G8" s="10" t="str">
        <f>C18</f>
        <v>تخفيفات نقدي فروش</v>
      </c>
      <c r="H8" s="3"/>
      <c r="I8" s="3"/>
      <c r="J8" s="3"/>
      <c r="K8" s="3"/>
      <c r="L8" s="3"/>
      <c r="M8" s="13">
        <f>D18</f>
        <v>16800</v>
      </c>
      <c r="N8" s="444">
        <f>SUM(M7:M8)</f>
        <v>88800</v>
      </c>
      <c r="O8" s="2"/>
      <c r="P8" s="10" t="str">
        <f>G29</f>
        <v>سود ويژه</v>
      </c>
      <c r="Q8" s="3"/>
      <c r="R8" s="3"/>
      <c r="S8" s="3"/>
      <c r="T8" s="3"/>
      <c r="U8" s="12">
        <f>N29</f>
        <v>36200</v>
      </c>
      <c r="V8" s="2"/>
      <c r="W8" s="2"/>
      <c r="X8" s="2"/>
      <c r="Y8" s="2"/>
      <c r="Z8" s="2"/>
      <c r="AA8" s="2"/>
      <c r="AB8" s="2"/>
      <c r="AC8" s="23"/>
      <c r="AE8" s="159"/>
      <c r="AF8" s="29" t="s">
        <v>85</v>
      </c>
      <c r="AG8" s="30"/>
      <c r="AH8" s="30"/>
      <c r="AI8" s="30"/>
      <c r="AJ8" s="30"/>
      <c r="AK8" s="30"/>
      <c r="AL8" s="30"/>
      <c r="AM8" s="30">
        <v>3070</v>
      </c>
      <c r="AN8" s="31"/>
      <c r="AO8" s="160"/>
      <c r="AQ8" s="167"/>
      <c r="AR8" s="477" t="s">
        <v>558</v>
      </c>
      <c r="AS8" s="478" t="s">
        <v>558</v>
      </c>
      <c r="AT8" s="478" t="s">
        <v>558</v>
      </c>
      <c r="AU8" s="478" t="s">
        <v>558</v>
      </c>
      <c r="AV8" s="229"/>
      <c r="AW8" s="229"/>
      <c r="AX8" s="229">
        <v>28000</v>
      </c>
      <c r="AY8" s="229"/>
      <c r="AZ8" s="230"/>
      <c r="BA8" s="2"/>
      <c r="BB8" s="2"/>
      <c r="BC8" s="2"/>
      <c r="BD8" s="2"/>
      <c r="BE8" s="2"/>
      <c r="BF8" s="2"/>
      <c r="BG8" s="23"/>
    </row>
    <row r="9" spans="2:59" ht="15.75" thickBot="1">
      <c r="B9" s="167"/>
      <c r="C9" s="43" t="s">
        <v>5</v>
      </c>
      <c r="D9" s="44">
        <v>15000</v>
      </c>
      <c r="E9" s="44"/>
      <c r="F9" s="2"/>
      <c r="G9" s="10" t="s">
        <v>30</v>
      </c>
      <c r="H9" s="3"/>
      <c r="I9" s="3"/>
      <c r="J9" s="3"/>
      <c r="K9" s="3"/>
      <c r="L9" s="3"/>
      <c r="M9" s="9"/>
      <c r="N9" s="12">
        <f>N6-N8</f>
        <v>1663200</v>
      </c>
      <c r="O9" s="2"/>
      <c r="P9" s="10" t="s">
        <v>31</v>
      </c>
      <c r="Q9" s="3"/>
      <c r="R9" s="3"/>
      <c r="S9" s="3"/>
      <c r="T9" s="3"/>
      <c r="U9" s="14">
        <f>D15</f>
        <v>100000</v>
      </c>
      <c r="V9" s="2"/>
      <c r="W9" s="2"/>
      <c r="X9" s="2"/>
      <c r="Y9" s="2"/>
      <c r="Z9" s="2"/>
      <c r="AA9" s="2"/>
      <c r="AB9" s="2"/>
      <c r="AC9" s="23"/>
      <c r="AE9" s="159"/>
      <c r="AF9" s="49" t="s">
        <v>90</v>
      </c>
      <c r="AG9" s="30" t="s">
        <v>97</v>
      </c>
      <c r="AH9" s="30"/>
      <c r="AI9" s="30"/>
      <c r="AJ9" s="30"/>
      <c r="AK9" s="30"/>
      <c r="AL9" s="30"/>
      <c r="AM9" s="50">
        <v>2400</v>
      </c>
      <c r="AN9" s="31"/>
      <c r="AO9" s="160"/>
      <c r="AQ9" s="167"/>
      <c r="AR9" s="477" t="s">
        <v>559</v>
      </c>
      <c r="AS9" s="478" t="s">
        <v>559</v>
      </c>
      <c r="AT9" s="478" t="s">
        <v>559</v>
      </c>
      <c r="AU9" s="478" t="s">
        <v>559</v>
      </c>
      <c r="AV9" s="393">
        <f>AV11-AV10</f>
        <v>17000</v>
      </c>
      <c r="AW9" s="229"/>
      <c r="AX9" s="229"/>
      <c r="AY9" s="229"/>
      <c r="AZ9" s="230"/>
      <c r="BA9" s="2"/>
      <c r="BB9" s="2"/>
      <c r="BC9" s="2"/>
      <c r="BD9" s="2"/>
      <c r="BE9" s="2"/>
      <c r="BF9" s="2"/>
      <c r="BG9" s="23"/>
    </row>
    <row r="10" spans="2:59" ht="15.75">
      <c r="B10" s="167"/>
      <c r="C10" s="43" t="s">
        <v>6</v>
      </c>
      <c r="D10" s="44">
        <v>100000</v>
      </c>
      <c r="E10" s="44"/>
      <c r="F10" s="2"/>
      <c r="G10" s="445" t="s">
        <v>34</v>
      </c>
      <c r="H10" s="15"/>
      <c r="I10" s="16"/>
      <c r="J10" s="16"/>
      <c r="K10" s="3"/>
      <c r="L10" s="3"/>
      <c r="M10" s="9"/>
      <c r="N10" s="12"/>
      <c r="O10" s="2"/>
      <c r="P10" s="17" t="s">
        <v>35</v>
      </c>
      <c r="Q10" s="3"/>
      <c r="R10" s="3"/>
      <c r="S10" s="3"/>
      <c r="T10" s="3"/>
      <c r="U10" s="6">
        <f>U6+U8-U9</f>
        <v>3096200</v>
      </c>
      <c r="V10" s="2"/>
      <c r="W10" s="2"/>
      <c r="X10" s="2"/>
      <c r="Y10" s="2"/>
      <c r="Z10" s="2"/>
      <c r="AA10" s="2"/>
      <c r="AB10" s="2"/>
      <c r="AC10" s="23"/>
      <c r="AE10" s="159"/>
      <c r="AF10" s="29"/>
      <c r="AG10" s="30"/>
      <c r="AH10" s="30"/>
      <c r="AI10" s="30"/>
      <c r="AJ10" s="30"/>
      <c r="AK10" s="30"/>
      <c r="AL10" s="30"/>
      <c r="AM10" s="30">
        <f>SUM(AM8:AM9)</f>
        <v>5470</v>
      </c>
      <c r="AN10" s="31"/>
      <c r="AO10" s="160"/>
      <c r="AQ10" s="167"/>
      <c r="AR10" s="477" t="s">
        <v>560</v>
      </c>
      <c r="AS10" s="478" t="s">
        <v>560</v>
      </c>
      <c r="AT10" s="478" t="s">
        <v>560</v>
      </c>
      <c r="AU10" s="478" t="s">
        <v>560</v>
      </c>
      <c r="AV10" s="232">
        <v>62000</v>
      </c>
      <c r="AW10" s="229"/>
      <c r="AX10" s="229"/>
      <c r="AY10" s="229"/>
      <c r="AZ10" s="230"/>
      <c r="BA10" s="2"/>
      <c r="BB10" s="2"/>
      <c r="BC10" s="2"/>
      <c r="BD10" s="2"/>
      <c r="BE10" s="2"/>
      <c r="BF10" s="2"/>
      <c r="BG10" s="23"/>
    </row>
    <row r="11" spans="2:59" ht="15.75" thickBot="1">
      <c r="B11" s="167"/>
      <c r="C11" s="43" t="s">
        <v>7</v>
      </c>
      <c r="D11" s="44">
        <v>600000</v>
      </c>
      <c r="E11" s="44"/>
      <c r="F11" s="2"/>
      <c r="G11" s="10" t="s">
        <v>24</v>
      </c>
      <c r="H11" s="3"/>
      <c r="I11" s="3"/>
      <c r="J11" s="3"/>
      <c r="K11" s="3"/>
      <c r="L11" s="3"/>
      <c r="M11" s="9">
        <f>D8</f>
        <v>160000</v>
      </c>
      <c r="N11" s="12"/>
      <c r="O11" s="2"/>
      <c r="P11" s="18"/>
      <c r="Q11" s="19"/>
      <c r="R11" s="19"/>
      <c r="S11" s="19"/>
      <c r="T11" s="19"/>
      <c r="U11" s="22"/>
      <c r="V11" s="2"/>
      <c r="W11" s="2"/>
      <c r="X11" s="2"/>
      <c r="Y11" s="2"/>
      <c r="Z11" s="2"/>
      <c r="AA11" s="2"/>
      <c r="AB11" s="2"/>
      <c r="AC11" s="23"/>
      <c r="AE11" s="159"/>
      <c r="AF11" s="49" t="s">
        <v>86</v>
      </c>
      <c r="AG11" s="30" t="s">
        <v>87</v>
      </c>
      <c r="AH11" s="30"/>
      <c r="AI11" s="30"/>
      <c r="AJ11" s="30"/>
      <c r="AK11" s="30"/>
      <c r="AL11" s="30"/>
      <c r="AM11" s="30">
        <v>1400</v>
      </c>
      <c r="AN11" s="31"/>
      <c r="AO11" s="160"/>
      <c r="AQ11" s="167"/>
      <c r="AR11" s="477" t="s">
        <v>561</v>
      </c>
      <c r="AS11" s="478" t="s">
        <v>561</v>
      </c>
      <c r="AT11" s="478" t="s">
        <v>561</v>
      </c>
      <c r="AU11" s="478" t="s">
        <v>561</v>
      </c>
      <c r="AV11" s="229">
        <v>79000</v>
      </c>
      <c r="AW11" s="229"/>
      <c r="AX11" s="229"/>
      <c r="AY11" s="229"/>
      <c r="AZ11" s="230"/>
      <c r="BA11" s="2"/>
      <c r="BB11" s="2"/>
      <c r="BC11" s="2"/>
      <c r="BD11" s="2"/>
      <c r="BE11" s="2"/>
      <c r="BF11" s="2"/>
      <c r="BG11" s="23"/>
    </row>
    <row r="12" spans="2:59" ht="15.75" thickBot="1">
      <c r="B12" s="167"/>
      <c r="C12" s="43" t="s">
        <v>33</v>
      </c>
      <c r="D12" s="44"/>
      <c r="E12" s="44">
        <v>480000</v>
      </c>
      <c r="F12" s="2"/>
      <c r="G12" s="10" t="str">
        <f>C19</f>
        <v>خريد</v>
      </c>
      <c r="H12" s="3"/>
      <c r="I12" s="3"/>
      <c r="J12" s="3"/>
      <c r="K12" s="9">
        <f>D19</f>
        <v>1600000</v>
      </c>
      <c r="L12" s="9"/>
      <c r="M12" s="3"/>
      <c r="N12" s="12"/>
      <c r="O12" s="2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3"/>
      <c r="AE12" s="159"/>
      <c r="AF12" s="29"/>
      <c r="AG12" s="30"/>
      <c r="AH12" s="30"/>
      <c r="AI12" s="30"/>
      <c r="AJ12" s="30"/>
      <c r="AK12" s="30"/>
      <c r="AL12" s="30"/>
      <c r="AM12" s="50"/>
      <c r="AN12" s="31"/>
      <c r="AO12" s="160"/>
      <c r="AQ12" s="167"/>
      <c r="AR12" s="477" t="s">
        <v>562</v>
      </c>
      <c r="AS12" s="478" t="s">
        <v>562</v>
      </c>
      <c r="AT12" s="478" t="s">
        <v>562</v>
      </c>
      <c r="AU12" s="478" t="s">
        <v>562</v>
      </c>
      <c r="AV12" s="346">
        <v>23000</v>
      </c>
      <c r="AW12" s="229"/>
      <c r="AX12" s="229"/>
      <c r="AY12" s="229"/>
      <c r="AZ12" s="230"/>
      <c r="BA12" s="2"/>
      <c r="BB12" s="2"/>
      <c r="BC12" s="2"/>
      <c r="BD12" s="2"/>
      <c r="BE12" s="2"/>
      <c r="BF12" s="2"/>
      <c r="BG12" s="23"/>
    </row>
    <row r="13" spans="2:59" ht="15.75" thickBot="1">
      <c r="B13" s="167"/>
      <c r="C13" s="43" t="s">
        <v>8</v>
      </c>
      <c r="D13" s="44"/>
      <c r="E13" s="44">
        <v>3000000</v>
      </c>
      <c r="F13" s="2"/>
      <c r="G13" s="10" t="str">
        <f>C20</f>
        <v>برگشت از خريد</v>
      </c>
      <c r="H13" s="3"/>
      <c r="I13" s="3"/>
      <c r="J13" s="9">
        <f>E20</f>
        <v>120000</v>
      </c>
      <c r="K13" s="3"/>
      <c r="L13" s="3"/>
      <c r="M13" s="9"/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3"/>
      <c r="AE13" s="159"/>
      <c r="AF13" s="29" t="s">
        <v>88</v>
      </c>
      <c r="AG13" s="30"/>
      <c r="AH13" s="30"/>
      <c r="AI13" s="30"/>
      <c r="AJ13" s="30"/>
      <c r="AK13" s="30"/>
      <c r="AL13" s="30"/>
      <c r="AM13" s="53">
        <f>AM10-AM11</f>
        <v>4070</v>
      </c>
      <c r="AN13" s="31"/>
      <c r="AO13" s="160"/>
      <c r="AQ13" s="167"/>
      <c r="AR13" s="477" t="s">
        <v>563</v>
      </c>
      <c r="AS13" s="478" t="s">
        <v>563</v>
      </c>
      <c r="AT13" s="478" t="s">
        <v>563</v>
      </c>
      <c r="AU13" s="478" t="s">
        <v>563</v>
      </c>
      <c r="AV13" s="229"/>
      <c r="AW13" s="393">
        <f>AV11-AV12</f>
        <v>56000</v>
      </c>
      <c r="AX13" s="229"/>
      <c r="AY13" s="229"/>
      <c r="AZ13" s="230"/>
      <c r="BA13" s="2"/>
      <c r="BB13" s="2"/>
      <c r="BC13" s="2"/>
      <c r="BD13" s="2"/>
      <c r="BE13" s="2"/>
      <c r="BF13" s="2"/>
      <c r="BG13" s="23"/>
    </row>
    <row r="14" spans="2:59" ht="15.75" thickTop="1">
      <c r="B14" s="167"/>
      <c r="C14" s="43" t="s">
        <v>38</v>
      </c>
      <c r="D14" s="44"/>
      <c r="E14" s="44">
        <v>3160000</v>
      </c>
      <c r="F14" s="2"/>
      <c r="G14" s="10" t="str">
        <f>C21</f>
        <v>تخفيفات نقدي خريد</v>
      </c>
      <c r="H14" s="3"/>
      <c r="I14" s="3"/>
      <c r="J14" s="13">
        <f>E21</f>
        <v>18000</v>
      </c>
      <c r="K14" s="13">
        <f>SUM(J13:J14)</f>
        <v>138000</v>
      </c>
      <c r="L14" s="9"/>
      <c r="M14" s="9"/>
      <c r="N14" s="11"/>
      <c r="O14" s="2"/>
      <c r="P14" s="513" t="s">
        <v>18</v>
      </c>
      <c r="Q14" s="514"/>
      <c r="R14" s="514"/>
      <c r="S14" s="514"/>
      <c r="T14" s="514"/>
      <c r="U14" s="515"/>
      <c r="V14" s="2"/>
      <c r="W14" s="2"/>
      <c r="X14" s="2"/>
      <c r="Y14" s="2"/>
      <c r="Z14" s="2"/>
      <c r="AA14" s="2"/>
      <c r="AB14" s="2"/>
      <c r="AC14" s="23"/>
      <c r="AE14" s="159"/>
      <c r="AF14" s="29"/>
      <c r="AG14" s="30"/>
      <c r="AH14" s="30"/>
      <c r="AI14" s="30"/>
      <c r="AJ14" s="30"/>
      <c r="AK14" s="30"/>
      <c r="AL14" s="30"/>
      <c r="AM14" s="30"/>
      <c r="AN14" s="31"/>
      <c r="AO14" s="160"/>
      <c r="AQ14" s="167"/>
      <c r="AR14" s="477" t="s">
        <v>564</v>
      </c>
      <c r="AS14" s="478" t="s">
        <v>564</v>
      </c>
      <c r="AT14" s="478" t="s">
        <v>564</v>
      </c>
      <c r="AU14" s="478" t="s">
        <v>564</v>
      </c>
      <c r="AV14" s="229"/>
      <c r="AW14" s="393">
        <f>AX16-AW15-AW13</f>
        <v>70000</v>
      </c>
      <c r="AX14" s="229"/>
      <c r="AY14" s="229"/>
      <c r="AZ14" s="230"/>
      <c r="BA14" s="2"/>
      <c r="BB14" s="2"/>
      <c r="BC14" s="2"/>
      <c r="BD14" s="2"/>
      <c r="BE14" s="2"/>
      <c r="BF14" s="2"/>
      <c r="BG14" s="23"/>
    </row>
    <row r="15" spans="2:59" ht="15.75" thickBot="1">
      <c r="B15" s="167"/>
      <c r="C15" s="43" t="s">
        <v>39</v>
      </c>
      <c r="D15" s="44">
        <v>100000</v>
      </c>
      <c r="E15" s="44"/>
      <c r="F15" s="2"/>
      <c r="G15" s="10" t="s">
        <v>43</v>
      </c>
      <c r="H15" s="3"/>
      <c r="I15" s="3"/>
      <c r="J15" s="9"/>
      <c r="K15" s="9"/>
      <c r="L15" s="9">
        <f>K12-K14</f>
        <v>1462000</v>
      </c>
      <c r="M15" s="3"/>
      <c r="N15" s="12"/>
      <c r="O15" s="2"/>
      <c r="P15" s="516" t="s">
        <v>21</v>
      </c>
      <c r="Q15" s="517"/>
      <c r="R15" s="517"/>
      <c r="S15" s="517"/>
      <c r="T15" s="517"/>
      <c r="U15" s="518"/>
      <c r="V15" s="2"/>
      <c r="W15" s="2"/>
      <c r="X15" s="2"/>
      <c r="Y15" s="2"/>
      <c r="Z15" s="2"/>
      <c r="AA15" s="2"/>
      <c r="AB15" s="2"/>
      <c r="AC15" s="23"/>
      <c r="AE15" s="159"/>
      <c r="AF15" s="51" t="s">
        <v>89</v>
      </c>
      <c r="AG15" s="30"/>
      <c r="AH15" s="30"/>
      <c r="AI15" s="30"/>
      <c r="AJ15" s="30"/>
      <c r="AK15" s="30"/>
      <c r="AL15" s="30"/>
      <c r="AM15" s="30"/>
      <c r="AN15" s="31"/>
      <c r="AO15" s="160"/>
      <c r="AQ15" s="167"/>
      <c r="AR15" s="477" t="s">
        <v>565</v>
      </c>
      <c r="AS15" s="478" t="s">
        <v>565</v>
      </c>
      <c r="AT15" s="478" t="s">
        <v>565</v>
      </c>
      <c r="AU15" s="478" t="s">
        <v>565</v>
      </c>
      <c r="AV15" s="229"/>
      <c r="AW15" s="346">
        <v>40000</v>
      </c>
      <c r="AX15" s="229"/>
      <c r="AY15" s="229"/>
      <c r="AZ15" s="230"/>
      <c r="BA15" s="2"/>
      <c r="BB15" s="2"/>
      <c r="BC15" s="2"/>
      <c r="BD15" s="2"/>
      <c r="BE15" s="2"/>
      <c r="BF15" s="2"/>
      <c r="BG15" s="23"/>
    </row>
    <row r="16" spans="2:59" ht="15.75" thickBot="1">
      <c r="B16" s="167"/>
      <c r="C16" s="43" t="s">
        <v>40</v>
      </c>
      <c r="D16" s="44"/>
      <c r="E16" s="44">
        <v>1752000</v>
      </c>
      <c r="F16" s="2"/>
      <c r="G16" s="10" t="str">
        <f>C22</f>
        <v>هزينه حمل كالاي خريداري شده</v>
      </c>
      <c r="H16" s="3"/>
      <c r="I16" s="3"/>
      <c r="J16" s="3"/>
      <c r="K16" s="3"/>
      <c r="L16" s="13">
        <f>D22</f>
        <v>60000</v>
      </c>
      <c r="M16" s="3"/>
      <c r="N16" s="12"/>
      <c r="O16" s="2"/>
      <c r="P16" s="519" t="s">
        <v>23</v>
      </c>
      <c r="Q16" s="520"/>
      <c r="R16" s="520"/>
      <c r="S16" s="520"/>
      <c r="T16" s="520"/>
      <c r="U16" s="521"/>
      <c r="V16" s="2"/>
      <c r="W16" s="2"/>
      <c r="X16" s="2"/>
      <c r="Y16" s="2"/>
      <c r="Z16" s="2"/>
      <c r="AA16" s="2"/>
      <c r="AB16" s="2"/>
      <c r="AC16" s="23"/>
      <c r="AE16" s="159"/>
      <c r="AF16" s="29" t="s">
        <v>85</v>
      </c>
      <c r="AG16" s="30"/>
      <c r="AH16" s="30"/>
      <c r="AI16" s="30"/>
      <c r="AJ16" s="30"/>
      <c r="AK16" s="30"/>
      <c r="AL16" s="30"/>
      <c r="AM16" s="30">
        <v>4095</v>
      </c>
      <c r="AN16" s="31"/>
      <c r="AO16" s="160"/>
      <c r="AQ16" s="167"/>
      <c r="AR16" s="477" t="s">
        <v>566</v>
      </c>
      <c r="AS16" s="478" t="s">
        <v>566</v>
      </c>
      <c r="AT16" s="478" t="s">
        <v>566</v>
      </c>
      <c r="AU16" s="478" t="s">
        <v>566</v>
      </c>
      <c r="AV16" s="229"/>
      <c r="AW16" s="229"/>
      <c r="AX16" s="346">
        <v>166000</v>
      </c>
      <c r="AY16" s="229"/>
      <c r="AZ16" s="230"/>
      <c r="BA16" s="2"/>
      <c r="BB16" s="2"/>
      <c r="BC16" s="2"/>
      <c r="BD16" s="2"/>
      <c r="BE16" s="2"/>
      <c r="BF16" s="2"/>
      <c r="BG16" s="23"/>
    </row>
    <row r="17" spans="2:59" ht="15">
      <c r="B17" s="167"/>
      <c r="C17" s="43" t="s">
        <v>42</v>
      </c>
      <c r="D17" s="44">
        <v>72000</v>
      </c>
      <c r="E17" s="44"/>
      <c r="F17" s="2"/>
      <c r="G17" s="10" t="s">
        <v>45</v>
      </c>
      <c r="H17" s="3"/>
      <c r="I17" s="3"/>
      <c r="J17" s="3"/>
      <c r="K17" s="3"/>
      <c r="L17" s="3"/>
      <c r="M17" s="13">
        <f>SUM(L15:L16)</f>
        <v>1522000</v>
      </c>
      <c r="N17" s="11"/>
      <c r="O17" s="2"/>
      <c r="P17" s="7" t="s">
        <v>26</v>
      </c>
      <c r="Q17" s="5"/>
      <c r="R17" s="8"/>
      <c r="S17" s="5" t="s">
        <v>27</v>
      </c>
      <c r="T17" s="5"/>
      <c r="U17" s="8"/>
      <c r="V17" s="2"/>
      <c r="W17" s="2"/>
      <c r="X17" s="2"/>
      <c r="Y17" s="2"/>
      <c r="Z17" s="2"/>
      <c r="AA17" s="2"/>
      <c r="AB17" s="2"/>
      <c r="AC17" s="23"/>
      <c r="AE17" s="159"/>
      <c r="AF17" s="49" t="s">
        <v>90</v>
      </c>
      <c r="AG17" s="30" t="s">
        <v>91</v>
      </c>
      <c r="AH17" s="30"/>
      <c r="AI17" s="30"/>
      <c r="AJ17" s="30"/>
      <c r="AK17" s="30"/>
      <c r="AL17" s="30"/>
      <c r="AM17" s="30">
        <v>1000</v>
      </c>
      <c r="AN17" s="31"/>
      <c r="AO17" s="160"/>
      <c r="AQ17" s="167"/>
      <c r="AR17" s="477" t="s">
        <v>567</v>
      </c>
      <c r="AS17" s="478" t="s">
        <v>567</v>
      </c>
      <c r="AT17" s="478" t="s">
        <v>567</v>
      </c>
      <c r="AU17" s="478" t="s">
        <v>567</v>
      </c>
      <c r="AV17" s="229"/>
      <c r="AW17" s="229"/>
      <c r="AX17" s="393">
        <f>SUM(AX8:AX16)</f>
        <v>194000</v>
      </c>
      <c r="AY17" s="229"/>
      <c r="AZ17" s="230"/>
      <c r="BA17" s="2"/>
      <c r="BB17" s="2"/>
      <c r="BC17" s="2"/>
      <c r="BD17" s="2"/>
      <c r="BE17" s="2"/>
      <c r="BF17" s="2"/>
      <c r="BG17" s="23"/>
    </row>
    <row r="18" spans="2:59" ht="15.75" thickBot="1">
      <c r="B18" s="167"/>
      <c r="C18" s="43" t="s">
        <v>9</v>
      </c>
      <c r="D18" s="44">
        <v>16800</v>
      </c>
      <c r="E18" s="44"/>
      <c r="F18" s="2"/>
      <c r="G18" s="10" t="s">
        <v>49</v>
      </c>
      <c r="H18" s="3"/>
      <c r="I18" s="3"/>
      <c r="J18" s="3"/>
      <c r="K18" s="3"/>
      <c r="L18" s="3"/>
      <c r="M18" s="9">
        <f>SUM(M11:M17)</f>
        <v>1682000</v>
      </c>
      <c r="N18" s="11"/>
      <c r="O18" s="2"/>
      <c r="P18" s="10" t="str">
        <f>C5</f>
        <v>صندوق</v>
      </c>
      <c r="Q18" s="3"/>
      <c r="R18" s="12">
        <f>D5</f>
        <v>1259200</v>
      </c>
      <c r="S18" s="3" t="str">
        <f>C12</f>
        <v>حسابهاي پرداختني </v>
      </c>
      <c r="T18" s="9">
        <f>E12</f>
        <v>480000</v>
      </c>
      <c r="U18" s="11"/>
      <c r="V18" s="2"/>
      <c r="W18" s="2"/>
      <c r="X18" s="2"/>
      <c r="Y18" s="2"/>
      <c r="Z18" s="2"/>
      <c r="AA18" s="2"/>
      <c r="AB18" s="2"/>
      <c r="AC18" s="23"/>
      <c r="AE18" s="159"/>
      <c r="AF18" s="29"/>
      <c r="AG18" s="30" t="s">
        <v>92</v>
      </c>
      <c r="AH18" s="30"/>
      <c r="AI18" s="30"/>
      <c r="AJ18" s="30"/>
      <c r="AK18" s="30"/>
      <c r="AL18" s="30"/>
      <c r="AM18" s="50">
        <v>15</v>
      </c>
      <c r="AN18" s="31"/>
      <c r="AO18" s="160"/>
      <c r="AQ18" s="167"/>
      <c r="AR18" s="477" t="s">
        <v>568</v>
      </c>
      <c r="AS18" s="478" t="s">
        <v>568</v>
      </c>
      <c r="AT18" s="478" t="s">
        <v>568</v>
      </c>
      <c r="AU18" s="478" t="s">
        <v>568</v>
      </c>
      <c r="AV18" s="229"/>
      <c r="AW18" s="229"/>
      <c r="AX18" s="346">
        <v>30000</v>
      </c>
      <c r="AY18" s="229"/>
      <c r="AZ18" s="230"/>
      <c r="BA18" s="2"/>
      <c r="BB18" s="2"/>
      <c r="BC18" s="2"/>
      <c r="BD18" s="2"/>
      <c r="BE18" s="2"/>
      <c r="BF18" s="2"/>
      <c r="BG18" s="23"/>
    </row>
    <row r="19" spans="2:59" ht="15">
      <c r="B19" s="167"/>
      <c r="C19" s="43" t="s">
        <v>10</v>
      </c>
      <c r="D19" s="44">
        <v>1600000</v>
      </c>
      <c r="E19" s="44"/>
      <c r="F19" s="2"/>
      <c r="G19" s="10" t="str">
        <f>C29</f>
        <v>موجودي كالاي پايان دوره</v>
      </c>
      <c r="H19" s="3"/>
      <c r="I19" s="3"/>
      <c r="J19" s="3"/>
      <c r="K19" s="3"/>
      <c r="L19" s="3"/>
      <c r="M19" s="13">
        <f>D29</f>
        <v>240000</v>
      </c>
      <c r="N19" s="11"/>
      <c r="O19" s="2"/>
      <c r="P19" s="10" t="str">
        <f>C6</f>
        <v>بانك</v>
      </c>
      <c r="Q19" s="3"/>
      <c r="R19" s="12">
        <f>D6</f>
        <v>2868000</v>
      </c>
      <c r="S19" s="3" t="s">
        <v>29</v>
      </c>
      <c r="T19" s="3"/>
      <c r="U19" s="12">
        <f>T18</f>
        <v>480000</v>
      </c>
      <c r="V19" s="2"/>
      <c r="W19" s="2"/>
      <c r="X19" s="2"/>
      <c r="Y19" s="2"/>
      <c r="Z19" s="2"/>
      <c r="AA19" s="2"/>
      <c r="AB19" s="2"/>
      <c r="AC19" s="23"/>
      <c r="AE19" s="159"/>
      <c r="AF19" s="29"/>
      <c r="AG19" s="30"/>
      <c r="AH19" s="30"/>
      <c r="AI19" s="30"/>
      <c r="AJ19" s="30"/>
      <c r="AK19" s="30"/>
      <c r="AL19" s="30"/>
      <c r="AM19" s="30">
        <f>SUM(AM16:AM18)</f>
        <v>5110</v>
      </c>
      <c r="AN19" s="31"/>
      <c r="AO19" s="160"/>
      <c r="AQ19" s="167"/>
      <c r="AR19" s="477" t="s">
        <v>569</v>
      </c>
      <c r="AS19" s="478" t="s">
        <v>569</v>
      </c>
      <c r="AT19" s="478" t="s">
        <v>569</v>
      </c>
      <c r="AU19" s="478" t="s">
        <v>569</v>
      </c>
      <c r="AV19" s="229"/>
      <c r="AW19" s="229"/>
      <c r="AX19" s="229"/>
      <c r="AY19" s="229">
        <v>164000</v>
      </c>
      <c r="AZ19" s="230"/>
      <c r="BA19" s="2"/>
      <c r="BB19" s="2"/>
      <c r="BC19" s="2"/>
      <c r="BD19" s="2"/>
      <c r="BE19" s="2"/>
      <c r="BF19" s="2"/>
      <c r="BG19" s="23"/>
    </row>
    <row r="20" spans="2:59" ht="15.75" thickBot="1">
      <c r="B20" s="167"/>
      <c r="C20" s="43" t="s">
        <v>48</v>
      </c>
      <c r="D20" s="44"/>
      <c r="E20" s="44">
        <v>120000</v>
      </c>
      <c r="F20" s="2"/>
      <c r="G20" s="10" t="s">
        <v>50</v>
      </c>
      <c r="H20" s="3"/>
      <c r="I20" s="3"/>
      <c r="J20" s="3"/>
      <c r="K20" s="3"/>
      <c r="L20" s="3"/>
      <c r="M20" s="3"/>
      <c r="N20" s="444">
        <f>M18-M19</f>
        <v>1442000</v>
      </c>
      <c r="O20" s="2"/>
      <c r="P20" s="10" t="str">
        <f>C7</f>
        <v>حسابهاي دريافتني </v>
      </c>
      <c r="Q20" s="3"/>
      <c r="R20" s="12">
        <f>D7</f>
        <v>504000</v>
      </c>
      <c r="S20" s="3" t="s">
        <v>32</v>
      </c>
      <c r="T20" s="9"/>
      <c r="U20" s="11"/>
      <c r="V20" s="2"/>
      <c r="W20" s="2"/>
      <c r="X20" s="2"/>
      <c r="Y20" s="2"/>
      <c r="Z20" s="2"/>
      <c r="AA20" s="2"/>
      <c r="AB20" s="2"/>
      <c r="AC20" s="23"/>
      <c r="AE20" s="159"/>
      <c r="AF20" s="49" t="s">
        <v>86</v>
      </c>
      <c r="AG20" s="30" t="s">
        <v>93</v>
      </c>
      <c r="AH20" s="30"/>
      <c r="AI20" s="30"/>
      <c r="AJ20" s="30"/>
      <c r="AK20" s="30"/>
      <c r="AL20" s="30"/>
      <c r="AM20" s="30"/>
      <c r="AN20" s="31"/>
      <c r="AO20" s="160"/>
      <c r="AQ20" s="167"/>
      <c r="AR20" s="477" t="s">
        <v>570</v>
      </c>
      <c r="AS20" s="478" t="s">
        <v>570</v>
      </c>
      <c r="AT20" s="478" t="s">
        <v>570</v>
      </c>
      <c r="AU20" s="478" t="s">
        <v>570</v>
      </c>
      <c r="AV20" s="229"/>
      <c r="AW20" s="229"/>
      <c r="AX20" s="229"/>
      <c r="AY20" s="346">
        <v>101000</v>
      </c>
      <c r="AZ20" s="230"/>
      <c r="BA20" s="2"/>
      <c r="BB20" s="2"/>
      <c r="BC20" s="2"/>
      <c r="BD20" s="2"/>
      <c r="BE20" s="2"/>
      <c r="BF20" s="2"/>
      <c r="BG20" s="23"/>
    </row>
    <row r="21" spans="2:59" ht="15">
      <c r="B21" s="167"/>
      <c r="C21" s="43" t="s">
        <v>11</v>
      </c>
      <c r="D21" s="44"/>
      <c r="E21" s="44">
        <v>18000</v>
      </c>
      <c r="F21" s="2"/>
      <c r="G21" s="17" t="str">
        <f>IF(N21&gt;0,"سود ناويژه","زيان ناويژه")</f>
        <v>سود ناويژه</v>
      </c>
      <c r="H21" s="3"/>
      <c r="I21" s="3"/>
      <c r="J21" s="3"/>
      <c r="K21" s="3"/>
      <c r="L21" s="3"/>
      <c r="M21" s="3"/>
      <c r="N21" s="12">
        <f>N9-N20</f>
        <v>221200</v>
      </c>
      <c r="O21" s="2"/>
      <c r="P21" s="10" t="s">
        <v>36</v>
      </c>
      <c r="Q21" s="3"/>
      <c r="R21" s="12">
        <f>D29</f>
        <v>240000</v>
      </c>
      <c r="S21" s="3" t="str">
        <f>C13</f>
        <v>وام بانكي بلند مدت</v>
      </c>
      <c r="T21" s="9">
        <v>2000000</v>
      </c>
      <c r="U21" s="11"/>
      <c r="V21" s="2"/>
      <c r="W21" s="2"/>
      <c r="X21" s="2"/>
      <c r="Y21" s="2"/>
      <c r="Z21" s="2"/>
      <c r="AA21" s="2"/>
      <c r="AB21" s="2"/>
      <c r="AC21" s="23"/>
      <c r="AE21" s="159"/>
      <c r="AF21" s="29"/>
      <c r="AG21" s="30" t="s">
        <v>94</v>
      </c>
      <c r="AH21" s="30"/>
      <c r="AI21" s="30"/>
      <c r="AJ21" s="30"/>
      <c r="AK21" s="30"/>
      <c r="AL21" s="30">
        <v>10</v>
      </c>
      <c r="AM21" s="30"/>
      <c r="AN21" s="31"/>
      <c r="AO21" s="160"/>
      <c r="AQ21" s="167"/>
      <c r="AR21" s="477" t="s">
        <v>571</v>
      </c>
      <c r="AS21" s="478" t="s">
        <v>571</v>
      </c>
      <c r="AT21" s="478" t="s">
        <v>571</v>
      </c>
      <c r="AU21" s="478" t="s">
        <v>571</v>
      </c>
      <c r="AV21" s="229"/>
      <c r="AW21" s="229"/>
      <c r="AX21" s="229"/>
      <c r="AY21" s="393">
        <f>SUM(AY19:AY20)</f>
        <v>265000</v>
      </c>
      <c r="AZ21" s="230"/>
      <c r="BA21" s="2"/>
      <c r="BB21" s="2"/>
      <c r="BC21" s="2"/>
      <c r="BD21" s="2"/>
      <c r="BE21" s="2"/>
      <c r="BF21" s="2"/>
      <c r="BG21" s="23"/>
    </row>
    <row r="22" spans="2:59" ht="15.75" thickBot="1">
      <c r="B22" s="167"/>
      <c r="C22" s="43" t="s">
        <v>12</v>
      </c>
      <c r="D22" s="44">
        <v>60000</v>
      </c>
      <c r="E22" s="44"/>
      <c r="F22" s="2"/>
      <c r="G22" s="10" t="s">
        <v>52</v>
      </c>
      <c r="H22" s="3"/>
      <c r="I22" s="3"/>
      <c r="J22" s="3"/>
      <c r="K22" s="3"/>
      <c r="L22" s="3"/>
      <c r="M22" s="3"/>
      <c r="N22" s="11"/>
      <c r="O22" s="2"/>
      <c r="P22" s="10" t="str">
        <f>C9</f>
        <v>موجودي ملزومات</v>
      </c>
      <c r="Q22" s="3"/>
      <c r="R22" s="12">
        <f>D9</f>
        <v>15000</v>
      </c>
      <c r="S22" s="3" t="s">
        <v>37</v>
      </c>
      <c r="T22" s="3"/>
      <c r="U22" s="12">
        <f>T21</f>
        <v>2000000</v>
      </c>
      <c r="V22" s="2"/>
      <c r="W22" s="2"/>
      <c r="X22" s="2"/>
      <c r="Y22" s="2"/>
      <c r="Z22" s="2"/>
      <c r="AA22" s="2"/>
      <c r="AB22" s="2"/>
      <c r="AC22" s="23"/>
      <c r="AE22" s="159"/>
      <c r="AF22" s="29"/>
      <c r="AG22" s="30" t="s">
        <v>95</v>
      </c>
      <c r="AH22" s="30"/>
      <c r="AI22" s="30"/>
      <c r="AJ22" s="30"/>
      <c r="AK22" s="30"/>
      <c r="AL22" s="30">
        <v>700</v>
      </c>
      <c r="AM22" s="30"/>
      <c r="AN22" s="31"/>
      <c r="AO22" s="160"/>
      <c r="AQ22" s="167"/>
      <c r="AR22" s="477" t="s">
        <v>572</v>
      </c>
      <c r="AS22" s="478" t="s">
        <v>572</v>
      </c>
      <c r="AT22" s="478" t="s">
        <v>572</v>
      </c>
      <c r="AU22" s="478" t="s">
        <v>572</v>
      </c>
      <c r="AV22" s="229"/>
      <c r="AW22" s="229"/>
      <c r="AX22" s="229"/>
      <c r="AY22" s="346">
        <f>AY21-AZ23</f>
        <v>97000</v>
      </c>
      <c r="AZ22" s="230"/>
      <c r="BA22" s="2"/>
      <c r="BB22" s="2"/>
      <c r="BC22" s="2"/>
      <c r="BD22" s="2"/>
      <c r="BE22" s="2"/>
      <c r="BF22" s="2"/>
      <c r="BG22" s="23"/>
    </row>
    <row r="23" spans="2:59" ht="16.5" thickBot="1">
      <c r="B23" s="167"/>
      <c r="C23" s="43" t="s">
        <v>13</v>
      </c>
      <c r="D23" s="44">
        <v>75000</v>
      </c>
      <c r="E23" s="44"/>
      <c r="F23" s="2"/>
      <c r="G23" s="10" t="str">
        <f>C23</f>
        <v>هزينه حقوق</v>
      </c>
      <c r="H23" s="3"/>
      <c r="I23" s="3"/>
      <c r="J23" s="3"/>
      <c r="K23" s="3"/>
      <c r="L23" s="3"/>
      <c r="M23" s="9">
        <f>D23</f>
        <v>75000</v>
      </c>
      <c r="N23" s="11"/>
      <c r="O23" s="2"/>
      <c r="P23" s="10" t="str">
        <f>C10</f>
        <v>پيش پرداخت اجاره</v>
      </c>
      <c r="Q23" s="3"/>
      <c r="R23" s="12">
        <f>D10</f>
        <v>100000</v>
      </c>
      <c r="S23" s="3"/>
      <c r="T23" s="3"/>
      <c r="U23" s="11"/>
      <c r="V23" s="2"/>
      <c r="W23" s="2"/>
      <c r="X23" s="2"/>
      <c r="Y23" s="2"/>
      <c r="Z23" s="2"/>
      <c r="AA23" s="2"/>
      <c r="AB23" s="2"/>
      <c r="AC23" s="23"/>
      <c r="AE23" s="159"/>
      <c r="AF23" s="29"/>
      <c r="AG23" s="30"/>
      <c r="AH23" s="30"/>
      <c r="AI23" s="30"/>
      <c r="AJ23" s="30"/>
      <c r="AK23" s="30"/>
      <c r="AL23" s="50">
        <v>330</v>
      </c>
      <c r="AM23" s="30"/>
      <c r="AN23" s="31"/>
      <c r="AO23" s="160"/>
      <c r="AQ23" s="167"/>
      <c r="AR23" s="468" t="s">
        <v>573</v>
      </c>
      <c r="AS23" s="469" t="s">
        <v>573</v>
      </c>
      <c r="AT23" s="469" t="s">
        <v>573</v>
      </c>
      <c r="AU23" s="469" t="s">
        <v>573</v>
      </c>
      <c r="AV23" s="229"/>
      <c r="AW23" s="229"/>
      <c r="AX23" s="229"/>
      <c r="AY23" s="229"/>
      <c r="AZ23" s="390">
        <v>168000</v>
      </c>
      <c r="BA23" s="2"/>
      <c r="BB23" s="2"/>
      <c r="BC23" s="2"/>
      <c r="BD23" s="2"/>
      <c r="BE23" s="2"/>
      <c r="BF23" s="2"/>
      <c r="BG23" s="23"/>
    </row>
    <row r="24" spans="2:59" ht="15.75">
      <c r="B24" s="167"/>
      <c r="C24" s="43" t="s">
        <v>51</v>
      </c>
      <c r="D24" s="44">
        <v>20000</v>
      </c>
      <c r="E24" s="44"/>
      <c r="F24" s="2"/>
      <c r="G24" s="10" t="str">
        <f>C24</f>
        <v>هزينه اب وبرق</v>
      </c>
      <c r="H24" s="3"/>
      <c r="I24" s="3"/>
      <c r="J24" s="3"/>
      <c r="K24" s="3"/>
      <c r="L24" s="3"/>
      <c r="M24" s="9">
        <f>D24</f>
        <v>20000</v>
      </c>
      <c r="N24" s="11"/>
      <c r="O24" s="2"/>
      <c r="P24" s="10" t="str">
        <f>C11</f>
        <v>اثاثه</v>
      </c>
      <c r="Q24" s="9">
        <f>D11</f>
        <v>600000</v>
      </c>
      <c r="R24" s="11"/>
      <c r="S24" s="3"/>
      <c r="T24" s="3"/>
      <c r="U24" s="11"/>
      <c r="V24" s="2"/>
      <c r="W24" s="2"/>
      <c r="X24" s="2"/>
      <c r="Y24" s="2"/>
      <c r="Z24" s="2"/>
      <c r="AA24" s="2"/>
      <c r="AB24" s="2"/>
      <c r="AC24" s="23"/>
      <c r="AE24" s="159"/>
      <c r="AF24" s="29" t="s">
        <v>96</v>
      </c>
      <c r="AG24" s="30"/>
      <c r="AH24" s="30"/>
      <c r="AI24" s="30"/>
      <c r="AJ24" s="30"/>
      <c r="AK24" s="30"/>
      <c r="AL24" s="30"/>
      <c r="AM24" s="50">
        <f>SUM(AL21:AL23)</f>
        <v>1040</v>
      </c>
      <c r="AN24" s="31"/>
      <c r="AO24" s="160"/>
      <c r="AQ24" s="167"/>
      <c r="AR24" s="468" t="s">
        <v>464</v>
      </c>
      <c r="AS24" s="469" t="s">
        <v>464</v>
      </c>
      <c r="AT24" s="469" t="s">
        <v>464</v>
      </c>
      <c r="AU24" s="469" t="s">
        <v>464</v>
      </c>
      <c r="AV24" s="229"/>
      <c r="AW24" s="229"/>
      <c r="AX24" s="229"/>
      <c r="AY24" s="229"/>
      <c r="AZ24" s="391">
        <v>230000</v>
      </c>
      <c r="BA24" s="2"/>
      <c r="BB24" s="2"/>
      <c r="BC24" s="2"/>
      <c r="BD24" s="2"/>
      <c r="BE24" s="2"/>
      <c r="BF24" s="2"/>
      <c r="BG24" s="23"/>
    </row>
    <row r="25" spans="2:59" ht="15.75" thickBot="1">
      <c r="B25" s="167"/>
      <c r="C25" s="43" t="s">
        <v>53</v>
      </c>
      <c r="D25" s="44">
        <v>30000</v>
      </c>
      <c r="E25" s="44"/>
      <c r="F25" s="2"/>
      <c r="G25" s="10" t="str">
        <f>C25</f>
        <v>هزينه ملزومات</v>
      </c>
      <c r="H25" s="3"/>
      <c r="I25" s="3"/>
      <c r="J25" s="3"/>
      <c r="K25" s="3"/>
      <c r="L25" s="3"/>
      <c r="M25" s="9">
        <f>D25</f>
        <v>30000</v>
      </c>
      <c r="N25" s="11"/>
      <c r="O25" s="2"/>
      <c r="P25" s="10" t="s">
        <v>41</v>
      </c>
      <c r="Q25" s="3"/>
      <c r="R25" s="11"/>
      <c r="S25" s="3" t="str">
        <f>C14</f>
        <v>سرمايه اقاي اميدي</v>
      </c>
      <c r="T25" s="3"/>
      <c r="U25" s="12">
        <f>U10</f>
        <v>3096200</v>
      </c>
      <c r="V25" s="2"/>
      <c r="W25" s="2"/>
      <c r="X25" s="2"/>
      <c r="Y25" s="2"/>
      <c r="Z25" s="2"/>
      <c r="AA25" s="2"/>
      <c r="AB25" s="2"/>
      <c r="AC25" s="23"/>
      <c r="AE25" s="159"/>
      <c r="AF25" s="32"/>
      <c r="AG25" s="33"/>
      <c r="AH25" s="33"/>
      <c r="AI25" s="33"/>
      <c r="AJ25" s="33"/>
      <c r="AK25" s="33"/>
      <c r="AL25" s="33"/>
      <c r="AM25" s="52">
        <f>AM19-AM24</f>
        <v>4070</v>
      </c>
      <c r="AN25" s="34"/>
      <c r="AO25" s="160"/>
      <c r="AQ25" s="167"/>
      <c r="AR25" s="477" t="s">
        <v>465</v>
      </c>
      <c r="AS25" s="478" t="s">
        <v>465</v>
      </c>
      <c r="AT25" s="478" t="s">
        <v>465</v>
      </c>
      <c r="AU25" s="478" t="s">
        <v>465</v>
      </c>
      <c r="AV25" s="229"/>
      <c r="AW25" s="229"/>
      <c r="AX25" s="229"/>
      <c r="AY25" s="229"/>
      <c r="AZ25" s="230"/>
      <c r="BA25" s="2"/>
      <c r="BB25" s="2"/>
      <c r="BC25" s="2"/>
      <c r="BD25" s="2"/>
      <c r="BE25" s="2"/>
      <c r="BF25" s="2"/>
      <c r="BG25" s="23"/>
    </row>
    <row r="26" spans="2:59" ht="15.75" thickBot="1">
      <c r="B26" s="167"/>
      <c r="C26" s="43" t="s">
        <v>14</v>
      </c>
      <c r="D26" s="44">
        <v>50000</v>
      </c>
      <c r="E26" s="44"/>
      <c r="F26" s="2"/>
      <c r="G26" s="10" t="str">
        <f>C26</f>
        <v>هزينه اجاره</v>
      </c>
      <c r="H26" s="3"/>
      <c r="I26" s="3"/>
      <c r="J26" s="3"/>
      <c r="K26" s="3"/>
      <c r="L26" s="3"/>
      <c r="M26" s="9">
        <f>D26</f>
        <v>50000</v>
      </c>
      <c r="N26" s="11"/>
      <c r="O26" s="2"/>
      <c r="P26" s="10" t="str">
        <f>C28</f>
        <v>استهلاك انباشته اثاثه</v>
      </c>
      <c r="Q26" s="20">
        <f>E28</f>
        <v>10000</v>
      </c>
      <c r="R26" s="11"/>
      <c r="S26" s="3"/>
      <c r="T26" s="3"/>
      <c r="U26" s="11"/>
      <c r="V26" s="2"/>
      <c r="W26" s="2"/>
      <c r="X26" s="2"/>
      <c r="Y26" s="2"/>
      <c r="Z26" s="2"/>
      <c r="AA26" s="2"/>
      <c r="AB26" s="2"/>
      <c r="AC26" s="23"/>
      <c r="AE26" s="159"/>
      <c r="AF26" s="56"/>
      <c r="AG26" s="56"/>
      <c r="AH26" s="56"/>
      <c r="AI26" s="56"/>
      <c r="AJ26" s="56"/>
      <c r="AK26" s="56"/>
      <c r="AL26" s="56"/>
      <c r="AM26" s="56"/>
      <c r="AN26" s="56"/>
      <c r="AO26" s="160"/>
      <c r="AQ26" s="167"/>
      <c r="AR26" s="477" t="s">
        <v>574</v>
      </c>
      <c r="AS26" s="478" t="s">
        <v>574</v>
      </c>
      <c r="AT26" s="478" t="s">
        <v>574</v>
      </c>
      <c r="AU26" s="478" t="s">
        <v>574</v>
      </c>
      <c r="AV26" s="229"/>
      <c r="AW26" s="229"/>
      <c r="AX26" s="229"/>
      <c r="AY26" s="229">
        <v>99000</v>
      </c>
      <c r="AZ26" s="230"/>
      <c r="BA26" s="2"/>
      <c r="BB26" s="2"/>
      <c r="BC26" s="2"/>
      <c r="BD26" s="2"/>
      <c r="BE26" s="2"/>
      <c r="BF26" s="2"/>
      <c r="BG26" s="23"/>
    </row>
    <row r="27" spans="2:59" ht="15.75" thickBot="1">
      <c r="B27" s="167"/>
      <c r="C27" s="43" t="s">
        <v>15</v>
      </c>
      <c r="D27" s="44">
        <v>10000</v>
      </c>
      <c r="E27" s="44"/>
      <c r="F27" s="2"/>
      <c r="G27" s="10" t="str">
        <f>C27</f>
        <v>هزينه استهلاك اثاثه</v>
      </c>
      <c r="H27" s="3"/>
      <c r="I27" s="3"/>
      <c r="J27" s="3"/>
      <c r="K27" s="3"/>
      <c r="L27" s="3"/>
      <c r="M27" s="13">
        <f>D27</f>
        <v>10000</v>
      </c>
      <c r="N27" s="11"/>
      <c r="O27" s="2"/>
      <c r="P27" s="10" t="s">
        <v>44</v>
      </c>
      <c r="Q27" s="3"/>
      <c r="R27" s="12">
        <f>Q24-Q26</f>
        <v>590000</v>
      </c>
      <c r="S27" s="3"/>
      <c r="T27" s="3"/>
      <c r="U27" s="11"/>
      <c r="V27" s="2"/>
      <c r="W27" s="2"/>
      <c r="X27" s="2"/>
      <c r="Y27" s="2"/>
      <c r="Z27" s="2"/>
      <c r="AA27" s="2"/>
      <c r="AB27" s="2"/>
      <c r="AC27" s="23"/>
      <c r="AE27" s="159"/>
      <c r="AF27" s="56"/>
      <c r="AG27" s="56"/>
      <c r="AH27" s="56"/>
      <c r="AI27" s="56"/>
      <c r="AJ27" s="56"/>
      <c r="AK27" s="56"/>
      <c r="AL27" s="56"/>
      <c r="AM27" s="56"/>
      <c r="AN27" s="56"/>
      <c r="AO27" s="160"/>
      <c r="AQ27" s="167"/>
      <c r="AR27" s="477" t="s">
        <v>575</v>
      </c>
      <c r="AS27" s="478" t="s">
        <v>575</v>
      </c>
      <c r="AT27" s="478" t="s">
        <v>575</v>
      </c>
      <c r="AU27" s="478" t="s">
        <v>575</v>
      </c>
      <c r="AV27" s="229"/>
      <c r="AW27" s="229"/>
      <c r="AX27" s="229"/>
      <c r="AY27" s="394">
        <f>AZ28-AY26</f>
        <v>45000</v>
      </c>
      <c r="AZ27" s="230"/>
      <c r="BA27" s="2"/>
      <c r="BB27" s="2"/>
      <c r="BC27" s="2"/>
      <c r="BD27" s="2"/>
      <c r="BE27" s="2"/>
      <c r="BF27" s="2"/>
      <c r="BG27" s="23"/>
    </row>
    <row r="28" spans="2:59" ht="15.75" thickBot="1">
      <c r="B28" s="167"/>
      <c r="C28" s="43" t="s">
        <v>16</v>
      </c>
      <c r="D28" s="44"/>
      <c r="E28" s="44">
        <v>10000</v>
      </c>
      <c r="F28" s="2"/>
      <c r="G28" s="10" t="s">
        <v>54</v>
      </c>
      <c r="H28" s="3"/>
      <c r="I28" s="3"/>
      <c r="J28" s="3"/>
      <c r="K28" s="3"/>
      <c r="L28" s="3"/>
      <c r="M28" s="3"/>
      <c r="N28" s="444">
        <f>SUM(M23:M27)</f>
        <v>185000</v>
      </c>
      <c r="O28" s="2"/>
      <c r="P28" s="10" t="s">
        <v>46</v>
      </c>
      <c r="Q28" s="3"/>
      <c r="R28" s="21">
        <f>SUM(R18:R27)</f>
        <v>5576200</v>
      </c>
      <c r="S28" s="3" t="s">
        <v>47</v>
      </c>
      <c r="T28" s="3"/>
      <c r="U28" s="21">
        <f>SUM(U19:U25)</f>
        <v>5576200</v>
      </c>
      <c r="V28" s="2"/>
      <c r="W28" s="2"/>
      <c r="X28" s="2"/>
      <c r="Y28" s="2"/>
      <c r="Z28" s="2"/>
      <c r="AA28" s="2"/>
      <c r="AB28" s="2"/>
      <c r="AC28" s="23"/>
      <c r="AE28" s="161"/>
      <c r="AF28" s="162"/>
      <c r="AG28" s="162"/>
      <c r="AH28" s="162"/>
      <c r="AI28" s="162"/>
      <c r="AJ28" s="162"/>
      <c r="AK28" s="162"/>
      <c r="AL28" s="162"/>
      <c r="AM28" s="162"/>
      <c r="AN28" s="162"/>
      <c r="AO28" s="163"/>
      <c r="AQ28" s="167"/>
      <c r="AR28" s="477" t="s">
        <v>576</v>
      </c>
      <c r="AS28" s="478" t="s">
        <v>576</v>
      </c>
      <c r="AT28" s="478" t="s">
        <v>576</v>
      </c>
      <c r="AU28" s="478" t="s">
        <v>576</v>
      </c>
      <c r="AV28" s="229"/>
      <c r="AW28" s="229"/>
      <c r="AX28" s="229"/>
      <c r="AY28" s="229"/>
      <c r="AZ28" s="345">
        <v>144000</v>
      </c>
      <c r="BA28" s="2"/>
      <c r="BB28" s="2"/>
      <c r="BC28" s="2"/>
      <c r="BD28" s="2"/>
      <c r="BE28" s="2"/>
      <c r="BF28" s="2"/>
      <c r="BG28" s="23"/>
    </row>
    <row r="29" spans="2:59" ht="16.5" thickBot="1" thickTop="1">
      <c r="B29" s="167"/>
      <c r="C29" s="43" t="s">
        <v>17</v>
      </c>
      <c r="D29" s="44">
        <v>240000</v>
      </c>
      <c r="E29" s="44"/>
      <c r="F29" s="2"/>
      <c r="G29" s="17" t="str">
        <f>IF(N29&gt;0,"سود ويژه","زيان ويژه")</f>
        <v>سود ويژه</v>
      </c>
      <c r="H29" s="3"/>
      <c r="I29" s="3"/>
      <c r="J29" s="3"/>
      <c r="K29" s="3"/>
      <c r="L29" s="3"/>
      <c r="M29" s="3"/>
      <c r="N29" s="446">
        <f>N21-N28</f>
        <v>36200</v>
      </c>
      <c r="O29" s="2"/>
      <c r="P29" s="18"/>
      <c r="Q29" s="19"/>
      <c r="R29" s="22"/>
      <c r="S29" s="19"/>
      <c r="T29" s="19"/>
      <c r="U29" s="22"/>
      <c r="V29" s="2"/>
      <c r="W29" s="2"/>
      <c r="X29" s="2"/>
      <c r="Y29" s="2"/>
      <c r="Z29" s="2"/>
      <c r="AA29" s="2"/>
      <c r="AB29" s="2"/>
      <c r="AC29" s="23"/>
      <c r="AQ29" s="167"/>
      <c r="AR29" s="477" t="s">
        <v>577</v>
      </c>
      <c r="AS29" s="478" t="s">
        <v>577</v>
      </c>
      <c r="AT29" s="478" t="s">
        <v>577</v>
      </c>
      <c r="AU29" s="478" t="s">
        <v>577</v>
      </c>
      <c r="AV29" s="229"/>
      <c r="AW29" s="229"/>
      <c r="AX29" s="229"/>
      <c r="AY29" s="229"/>
      <c r="AZ29" s="395">
        <f>AZ24-AZ28</f>
        <v>86000</v>
      </c>
      <c r="BA29" s="2"/>
      <c r="BB29" s="2"/>
      <c r="BC29" s="2"/>
      <c r="BD29" s="2"/>
      <c r="BE29" s="2"/>
      <c r="BF29" s="2"/>
      <c r="BG29" s="23"/>
    </row>
    <row r="30" spans="2:59" ht="16.5" thickBot="1" thickTop="1">
      <c r="B30" s="167"/>
      <c r="C30" s="168"/>
      <c r="D30" s="169"/>
      <c r="E30" s="169"/>
      <c r="F30" s="2"/>
      <c r="G30" s="18"/>
      <c r="H30" s="19"/>
      <c r="I30" s="19"/>
      <c r="J30" s="19"/>
      <c r="K30" s="19"/>
      <c r="L30" s="19"/>
      <c r="M30" s="19"/>
      <c r="N30" s="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  <c r="AQ30" s="167"/>
      <c r="AR30" s="477" t="s">
        <v>578</v>
      </c>
      <c r="AS30" s="478" t="s">
        <v>578</v>
      </c>
      <c r="AT30" s="478" t="s">
        <v>578</v>
      </c>
      <c r="AU30" s="478" t="s">
        <v>578</v>
      </c>
      <c r="AV30" s="229"/>
      <c r="AW30" s="229"/>
      <c r="AX30" s="229"/>
      <c r="AY30" s="229"/>
      <c r="AZ30" s="395">
        <f>AZ29*0.4</f>
        <v>34400</v>
      </c>
      <c r="BA30" s="2"/>
      <c r="BB30" s="2"/>
      <c r="BC30" s="2"/>
      <c r="BD30" s="2"/>
      <c r="BE30" s="2"/>
      <c r="BF30" s="2"/>
      <c r="BG30" s="23"/>
    </row>
    <row r="31" spans="2:59" ht="16.5" thickBot="1">
      <c r="B31" s="161"/>
      <c r="C31" s="170"/>
      <c r="D31" s="171"/>
      <c r="E31" s="17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3"/>
      <c r="AQ31" s="161"/>
      <c r="AR31" s="479" t="s">
        <v>474</v>
      </c>
      <c r="AS31" s="480" t="s">
        <v>474</v>
      </c>
      <c r="AT31" s="480" t="s">
        <v>474</v>
      </c>
      <c r="AU31" s="480" t="s">
        <v>474</v>
      </c>
      <c r="AV31" s="346"/>
      <c r="AW31" s="346"/>
      <c r="AX31" s="346"/>
      <c r="AY31" s="346"/>
      <c r="AZ31" s="421">
        <f>AZ29-AZ30</f>
        <v>51600</v>
      </c>
      <c r="BA31" s="162"/>
      <c r="BB31" s="162"/>
      <c r="BC31" s="162"/>
      <c r="BD31" s="162"/>
      <c r="BE31" s="162"/>
      <c r="BF31" s="162"/>
      <c r="BG31" s="163"/>
    </row>
    <row r="32" spans="3:52" ht="16.5" thickBot="1">
      <c r="C32" s="54"/>
      <c r="E32"/>
      <c r="F32"/>
      <c r="O32" s="37"/>
      <c r="P32" s="37"/>
      <c r="Q32" s="37"/>
      <c r="R32" s="37"/>
      <c r="S32" s="37"/>
      <c r="T32" s="37"/>
      <c r="U32"/>
      <c r="V32"/>
      <c r="W32"/>
      <c r="X32"/>
      <c r="Y32"/>
      <c r="Z32"/>
      <c r="AA32"/>
      <c r="AB32"/>
      <c r="AC32"/>
      <c r="AV32"/>
      <c r="AW32"/>
      <c r="AX32"/>
      <c r="AY32"/>
      <c r="AZ32"/>
    </row>
    <row r="33" spans="2:59" ht="14.25" customHeight="1" thickBot="1">
      <c r="B33" s="538" t="s">
        <v>99</v>
      </c>
      <c r="C33" s="535"/>
      <c r="D33" s="165"/>
      <c r="E33" s="157"/>
      <c r="F33" s="157"/>
      <c r="G33" s="157"/>
      <c r="H33" s="157"/>
      <c r="I33" s="157"/>
      <c r="J33" s="172"/>
      <c r="K33" s="172"/>
      <c r="L33" s="172"/>
      <c r="M33" s="172"/>
      <c r="N33" s="172"/>
      <c r="O33" s="172"/>
      <c r="P33" s="166"/>
      <c r="Q33" s="166"/>
      <c r="R33" s="166"/>
      <c r="S33" s="166"/>
      <c r="T33" s="166"/>
      <c r="U33" s="157"/>
      <c r="V33" s="157"/>
      <c r="W33" s="511" t="s">
        <v>75</v>
      </c>
      <c r="X33" s="511"/>
      <c r="Y33" s="511"/>
      <c r="Z33" s="511"/>
      <c r="AA33" s="511"/>
      <c r="AB33" s="511"/>
      <c r="AC33" s="512"/>
      <c r="AE33" s="538" t="s">
        <v>101</v>
      </c>
      <c r="AF33" s="535"/>
      <c r="AG33" s="157"/>
      <c r="AH33" s="157"/>
      <c r="AI33" s="157"/>
      <c r="AJ33" s="157"/>
      <c r="AK33" s="157"/>
      <c r="AL33" s="157"/>
      <c r="AM33" s="166"/>
      <c r="AN33" s="166"/>
      <c r="AO33" s="164"/>
      <c r="AQ33" s="420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4"/>
    </row>
    <row r="34" spans="2:59" ht="13.5" customHeight="1" thickBot="1">
      <c r="B34" s="539"/>
      <c r="C34" s="540"/>
      <c r="D34" s="56"/>
      <c r="E34" s="56"/>
      <c r="F34" s="56"/>
      <c r="G34" s="56"/>
      <c r="H34" s="510" t="s">
        <v>70</v>
      </c>
      <c r="I34" s="510"/>
      <c r="J34" s="510"/>
      <c r="K34" s="510"/>
      <c r="L34" s="510"/>
      <c r="M34" s="173"/>
      <c r="N34" s="2"/>
      <c r="O34" s="2"/>
      <c r="P34" s="2"/>
      <c r="Q34" s="2"/>
      <c r="R34" s="2"/>
      <c r="S34" s="56"/>
      <c r="T34" s="56"/>
      <c r="U34" s="36" t="s">
        <v>65</v>
      </c>
      <c r="V34" s="36" t="s">
        <v>66</v>
      </c>
      <c r="W34" s="38" t="s">
        <v>78</v>
      </c>
      <c r="X34" s="38" t="s">
        <v>79</v>
      </c>
      <c r="Y34" s="38" t="s">
        <v>80</v>
      </c>
      <c r="Z34" s="38" t="s">
        <v>76</v>
      </c>
      <c r="AA34" s="38" t="s">
        <v>77</v>
      </c>
      <c r="AB34" s="2"/>
      <c r="AC34" s="23"/>
      <c r="AE34" s="539"/>
      <c r="AF34" s="540"/>
      <c r="AG34" s="56" t="s">
        <v>107</v>
      </c>
      <c r="AH34" s="56"/>
      <c r="AI34" s="56">
        <v>100000</v>
      </c>
      <c r="AJ34" s="56"/>
      <c r="AK34" s="56"/>
      <c r="AL34" s="56"/>
      <c r="AM34" s="2"/>
      <c r="AN34" s="2"/>
      <c r="AO34" s="23"/>
      <c r="AQ34" s="167"/>
      <c r="AR34" s="534" t="s">
        <v>555</v>
      </c>
      <c r="AS34" s="535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3"/>
    </row>
    <row r="35" spans="2:59" ht="13.5" thickBot="1">
      <c r="B35" s="167"/>
      <c r="C35" s="26" t="s">
        <v>62</v>
      </c>
      <c r="D35" s="27"/>
      <c r="E35" s="27" t="s">
        <v>63</v>
      </c>
      <c r="F35" s="28"/>
      <c r="G35" s="56"/>
      <c r="H35" s="36" t="s">
        <v>65</v>
      </c>
      <c r="I35" s="36" t="s">
        <v>66</v>
      </c>
      <c r="J35" s="38" t="s">
        <v>67</v>
      </c>
      <c r="K35" s="38" t="s">
        <v>68</v>
      </c>
      <c r="L35" s="38" t="s">
        <v>69</v>
      </c>
      <c r="M35" s="173"/>
      <c r="N35" s="2"/>
      <c r="O35" s="2"/>
      <c r="P35" s="2"/>
      <c r="Q35" s="2"/>
      <c r="R35" s="2"/>
      <c r="S35" s="56"/>
      <c r="T35" s="56"/>
      <c r="U35" s="35">
        <v>1</v>
      </c>
      <c r="V35" s="35">
        <v>1371</v>
      </c>
      <c r="W35" s="39">
        <f>J36</f>
        <v>1777777.7777777778</v>
      </c>
      <c r="X35" s="40">
        <f>J50</f>
        <v>8000000</v>
      </c>
      <c r="Y35" s="40">
        <f>J64</f>
        <v>6400000</v>
      </c>
      <c r="Z35" s="40">
        <f aca="true" t="shared" si="0" ref="Z35:Z43">J78</f>
        <v>4531294.25092042</v>
      </c>
      <c r="AA35" s="40">
        <f aca="true" t="shared" si="1" ref="AA35:AA43">J92</f>
        <v>1194029.8507462686</v>
      </c>
      <c r="AB35" s="2"/>
      <c r="AC35" s="23"/>
      <c r="AE35" s="159"/>
      <c r="AF35" s="56"/>
      <c r="AG35" s="56" t="s">
        <v>108</v>
      </c>
      <c r="AH35" s="56"/>
      <c r="AI35" s="56">
        <v>0.09</v>
      </c>
      <c r="AJ35" s="56"/>
      <c r="AK35" s="56"/>
      <c r="AL35" s="56"/>
      <c r="AM35" s="2"/>
      <c r="AN35" s="2"/>
      <c r="AO35" s="23"/>
      <c r="AQ35" s="167"/>
      <c r="AR35" s="536"/>
      <c r="AS35" s="537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3"/>
    </row>
    <row r="36" spans="2:59" ht="12.75">
      <c r="B36" s="167"/>
      <c r="C36" s="29" t="s">
        <v>60</v>
      </c>
      <c r="D36" s="30"/>
      <c r="E36" s="30">
        <v>36000000</v>
      </c>
      <c r="F36" s="31"/>
      <c r="G36" s="56"/>
      <c r="H36" s="39">
        <v>1</v>
      </c>
      <c r="I36" s="41">
        <v>1371</v>
      </c>
      <c r="J36" s="39">
        <f>SLN($E$36,$E$37,$E$38)/2</f>
        <v>1777777.7777777778</v>
      </c>
      <c r="K36" s="39">
        <f>J36</f>
        <v>1777777.7777777778</v>
      </c>
      <c r="L36" s="39">
        <f>$E$36-K36</f>
        <v>34222222.222222224</v>
      </c>
      <c r="M36" s="173"/>
      <c r="N36" s="2"/>
      <c r="O36" s="2"/>
      <c r="P36" s="2"/>
      <c r="Q36" s="2"/>
      <c r="R36" s="2"/>
      <c r="S36" s="56"/>
      <c r="T36" s="56"/>
      <c r="U36" s="35">
        <v>2</v>
      </c>
      <c r="V36" s="35">
        <v>1372</v>
      </c>
      <c r="W36" s="39">
        <f aca="true" t="shared" si="2" ref="W36:W44">J37</f>
        <v>3555555.5555555555</v>
      </c>
      <c r="X36" s="40">
        <f aca="true" t="shared" si="3" ref="X36:X43">J51</f>
        <v>6222222.222222222</v>
      </c>
      <c r="Y36" s="40">
        <f aca="true" t="shared" si="4" ref="Y36:Y43">J65</f>
        <v>5688888.888888889</v>
      </c>
      <c r="Z36" s="40">
        <f t="shared" si="0"/>
        <v>7793826.111583121</v>
      </c>
      <c r="AA36" s="40">
        <f t="shared" si="1"/>
        <v>5731343.2835820895</v>
      </c>
      <c r="AB36" s="2"/>
      <c r="AC36" s="23"/>
      <c r="AE36" s="159"/>
      <c r="AF36" s="56"/>
      <c r="AG36" s="56" t="s">
        <v>109</v>
      </c>
      <c r="AH36" s="56"/>
      <c r="AI36" s="56">
        <f>AI34*AI35/2</f>
        <v>4500</v>
      </c>
      <c r="AJ36" s="56"/>
      <c r="AK36" s="56"/>
      <c r="AL36" s="56"/>
      <c r="AM36" s="2"/>
      <c r="AN36" s="2"/>
      <c r="AO36" s="23"/>
      <c r="AQ36" s="167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3"/>
    </row>
    <row r="37" spans="2:59" ht="15.75" customHeight="1">
      <c r="B37" s="167"/>
      <c r="C37" s="29" t="s">
        <v>61</v>
      </c>
      <c r="D37" s="30"/>
      <c r="E37" s="30">
        <v>4000000</v>
      </c>
      <c r="F37" s="31"/>
      <c r="G37" s="56"/>
      <c r="H37" s="40">
        <v>2</v>
      </c>
      <c r="I37" s="42">
        <v>1372</v>
      </c>
      <c r="J37" s="39">
        <f>SLN($E$36,$E$37,$E$38)</f>
        <v>3555555.5555555555</v>
      </c>
      <c r="K37" s="40">
        <f aca="true" t="shared" si="5" ref="K37:K45">K36+J37</f>
        <v>5333333.333333333</v>
      </c>
      <c r="L37" s="39">
        <f aca="true" t="shared" si="6" ref="L37:L45">$E$36-K37</f>
        <v>30666666.666666668</v>
      </c>
      <c r="M37" s="173"/>
      <c r="N37" s="2"/>
      <c r="O37" s="2"/>
      <c r="P37" s="2"/>
      <c r="Q37" s="2"/>
      <c r="R37" s="2"/>
      <c r="S37" s="56"/>
      <c r="T37" s="56"/>
      <c r="U37" s="35">
        <v>3</v>
      </c>
      <c r="V37" s="35">
        <v>1373</v>
      </c>
      <c r="W37" s="39">
        <f t="shared" si="2"/>
        <v>3555555.5555555555</v>
      </c>
      <c r="X37" s="40">
        <f t="shared" si="3"/>
        <v>4839506.1728395065</v>
      </c>
      <c r="Y37" s="40">
        <f t="shared" si="4"/>
        <v>4977777.777777778</v>
      </c>
      <c r="Z37" s="40">
        <f t="shared" si="0"/>
        <v>6706315.491362221</v>
      </c>
      <c r="AA37" s="40">
        <f t="shared" si="1"/>
        <v>5253731.3432835825</v>
      </c>
      <c r="AB37" s="2"/>
      <c r="AC37" s="23"/>
      <c r="AE37" s="159"/>
      <c r="AF37" s="56"/>
      <c r="AG37" s="56" t="s">
        <v>110</v>
      </c>
      <c r="AH37" s="56"/>
      <c r="AI37" s="56">
        <v>0.08</v>
      </c>
      <c r="AJ37" s="56"/>
      <c r="AK37" s="56"/>
      <c r="AL37" s="56"/>
      <c r="AM37" s="2"/>
      <c r="AN37" s="2"/>
      <c r="AO37" s="23"/>
      <c r="AQ37" s="167"/>
      <c r="AR37" s="548" t="s">
        <v>580</v>
      </c>
      <c r="AS37" s="549"/>
      <c r="AT37" s="549"/>
      <c r="AU37" s="549"/>
      <c r="AV37" s="549"/>
      <c r="AW37" s="549"/>
      <c r="AX37" s="549"/>
      <c r="AY37" s="550"/>
      <c r="AZ37" s="2"/>
      <c r="BA37" s="564" t="str">
        <f>AR37</f>
        <v>دایره مونتاژ</v>
      </c>
      <c r="BB37" s="565"/>
      <c r="BC37" s="565"/>
      <c r="BD37" s="565"/>
      <c r="BE37" s="565"/>
      <c r="BF37" s="566"/>
      <c r="BG37" s="23"/>
    </row>
    <row r="38" spans="2:59" ht="16.5" customHeight="1" thickBot="1">
      <c r="B38" s="167"/>
      <c r="C38" s="32" t="s">
        <v>64</v>
      </c>
      <c r="D38" s="33"/>
      <c r="E38" s="33">
        <v>9</v>
      </c>
      <c r="F38" s="34"/>
      <c r="G38" s="56"/>
      <c r="H38" s="39">
        <v>3</v>
      </c>
      <c r="I38" s="41">
        <v>1373</v>
      </c>
      <c r="J38" s="39">
        <f aca="true" t="shared" si="7" ref="J38:J44">SLN($E$36,$E$37,$E$38)</f>
        <v>3555555.5555555555</v>
      </c>
      <c r="K38" s="40">
        <f t="shared" si="5"/>
        <v>8888888.888888888</v>
      </c>
      <c r="L38" s="39">
        <f t="shared" si="6"/>
        <v>27111111.111111112</v>
      </c>
      <c r="M38" s="173"/>
      <c r="N38" s="2"/>
      <c r="O38" s="2"/>
      <c r="P38" s="2"/>
      <c r="Q38" s="2"/>
      <c r="R38" s="2"/>
      <c r="S38" s="56"/>
      <c r="T38" s="56"/>
      <c r="U38" s="35">
        <v>4</v>
      </c>
      <c r="V38" s="35">
        <v>1374</v>
      </c>
      <c r="W38" s="39">
        <f t="shared" si="2"/>
        <v>3555555.5555555555</v>
      </c>
      <c r="X38" s="40">
        <f t="shared" si="3"/>
        <v>3764060.356652949</v>
      </c>
      <c r="Y38" s="40">
        <f t="shared" si="4"/>
        <v>4266666.666666667</v>
      </c>
      <c r="Z38" s="40">
        <f t="shared" si="0"/>
        <v>4531294.25092042</v>
      </c>
      <c r="AA38" s="40">
        <f t="shared" si="1"/>
        <v>4298507.462686568</v>
      </c>
      <c r="AB38" s="2"/>
      <c r="AC38" s="23"/>
      <c r="AE38" s="159"/>
      <c r="AF38" s="56"/>
      <c r="AG38" s="56"/>
      <c r="AH38" s="56"/>
      <c r="AI38" s="56"/>
      <c r="AJ38" s="56"/>
      <c r="AK38" s="56"/>
      <c r="AL38" s="56"/>
      <c r="AM38" s="2"/>
      <c r="AN38" s="2"/>
      <c r="AO38" s="23"/>
      <c r="AQ38" s="167"/>
      <c r="AR38" s="545" t="s">
        <v>581</v>
      </c>
      <c r="AS38" s="546"/>
      <c r="AT38" s="546"/>
      <c r="AU38" s="546"/>
      <c r="AV38" s="546"/>
      <c r="AW38" s="546"/>
      <c r="AX38" s="546"/>
      <c r="AY38" s="547"/>
      <c r="AZ38" s="2"/>
      <c r="BA38" s="561" t="str">
        <f>AR39</f>
        <v>برای ماه منتهی به 31 مرداد 1382</v>
      </c>
      <c r="BB38" s="562"/>
      <c r="BC38" s="562"/>
      <c r="BD38" s="562"/>
      <c r="BE38" s="562"/>
      <c r="BF38" s="563"/>
      <c r="BG38" s="23"/>
    </row>
    <row r="39" spans="2:59" ht="15.75">
      <c r="B39" s="167"/>
      <c r="C39" s="56"/>
      <c r="D39" s="56"/>
      <c r="E39" s="56"/>
      <c r="F39" s="56"/>
      <c r="G39" s="56"/>
      <c r="H39" s="40">
        <v>4</v>
      </c>
      <c r="I39" s="42">
        <v>1374</v>
      </c>
      <c r="J39" s="39">
        <f t="shared" si="7"/>
        <v>3555555.5555555555</v>
      </c>
      <c r="K39" s="40">
        <f t="shared" si="5"/>
        <v>12444444.444444444</v>
      </c>
      <c r="L39" s="39">
        <f t="shared" si="6"/>
        <v>23555555.555555556</v>
      </c>
      <c r="M39" s="173"/>
      <c r="N39" s="2"/>
      <c r="O39" s="2"/>
      <c r="P39" s="2"/>
      <c r="Q39" s="2"/>
      <c r="R39" s="2"/>
      <c r="S39" s="56"/>
      <c r="T39" s="56"/>
      <c r="U39" s="35">
        <v>5</v>
      </c>
      <c r="V39" s="35">
        <v>1375</v>
      </c>
      <c r="W39" s="39">
        <f t="shared" si="2"/>
        <v>3555555.5555555555</v>
      </c>
      <c r="X39" s="40">
        <f t="shared" si="3"/>
        <v>2927602.4996189605</v>
      </c>
      <c r="Y39" s="40">
        <f t="shared" si="4"/>
        <v>3555555.5555555555</v>
      </c>
      <c r="Z39" s="40">
        <f t="shared" si="0"/>
        <v>3625035.400736335</v>
      </c>
      <c r="AA39" s="40">
        <f t="shared" si="1"/>
        <v>3820895.5223880596</v>
      </c>
      <c r="AB39" s="2"/>
      <c r="AC39" s="23"/>
      <c r="AE39" s="159"/>
      <c r="AF39" s="55" t="s">
        <v>102</v>
      </c>
      <c r="AG39" s="55" t="s">
        <v>103</v>
      </c>
      <c r="AH39" s="55" t="s">
        <v>104</v>
      </c>
      <c r="AI39" s="55" t="s">
        <v>182</v>
      </c>
      <c r="AJ39" s="55" t="s">
        <v>105</v>
      </c>
      <c r="AK39" s="55" t="s">
        <v>106</v>
      </c>
      <c r="AL39" s="56"/>
      <c r="AM39" s="2"/>
      <c r="AN39" s="2"/>
      <c r="AO39" s="23"/>
      <c r="AQ39" s="167"/>
      <c r="AR39" s="545" t="s">
        <v>582</v>
      </c>
      <c r="AS39" s="546"/>
      <c r="AT39" s="546"/>
      <c r="AU39" s="546"/>
      <c r="AV39" s="546"/>
      <c r="AW39" s="546"/>
      <c r="AX39" s="546"/>
      <c r="AY39" s="547"/>
      <c r="AZ39" s="2"/>
      <c r="BA39" s="567" t="s">
        <v>594</v>
      </c>
      <c r="BB39" s="567"/>
      <c r="BC39" s="567"/>
      <c r="BD39" s="567" t="str">
        <f>AX40</f>
        <v>آحاد فیزیکی</v>
      </c>
      <c r="BE39" s="560" t="s">
        <v>595</v>
      </c>
      <c r="BF39" s="560"/>
      <c r="BG39" s="23"/>
    </row>
    <row r="40" spans="2:59" ht="12.75">
      <c r="B40" s="167"/>
      <c r="C40" s="531" t="s">
        <v>55</v>
      </c>
      <c r="D40" s="532" t="s">
        <v>56</v>
      </c>
      <c r="E40" s="532" t="s">
        <v>57</v>
      </c>
      <c r="F40" s="533" t="s">
        <v>58</v>
      </c>
      <c r="G40" s="56"/>
      <c r="H40" s="39">
        <v>5</v>
      </c>
      <c r="I40" s="41">
        <v>1375</v>
      </c>
      <c r="J40" s="39">
        <f t="shared" si="7"/>
        <v>3555555.5555555555</v>
      </c>
      <c r="K40" s="40">
        <f t="shared" si="5"/>
        <v>16000000</v>
      </c>
      <c r="L40" s="39">
        <f t="shared" si="6"/>
        <v>20000000</v>
      </c>
      <c r="M40" s="173"/>
      <c r="N40" s="2"/>
      <c r="O40" s="2"/>
      <c r="P40" s="2"/>
      <c r="Q40" s="2"/>
      <c r="R40" s="2"/>
      <c r="S40" s="56"/>
      <c r="T40" s="56"/>
      <c r="U40" s="35">
        <v>6</v>
      </c>
      <c r="V40" s="35">
        <v>1376</v>
      </c>
      <c r="W40" s="39">
        <f t="shared" si="2"/>
        <v>3555555.5555555555</v>
      </c>
      <c r="X40" s="40">
        <f t="shared" si="3"/>
        <v>2277024.166370303</v>
      </c>
      <c r="Y40" s="40">
        <f t="shared" si="4"/>
        <v>2844444.4444444445</v>
      </c>
      <c r="Z40" s="40">
        <f t="shared" si="0"/>
        <v>2175021.240441801</v>
      </c>
      <c r="AA40" s="40">
        <f t="shared" si="1"/>
        <v>3343283.582089552</v>
      </c>
      <c r="AB40" s="2"/>
      <c r="AC40" s="23"/>
      <c r="AE40" s="159"/>
      <c r="AF40" s="57" t="s">
        <v>111</v>
      </c>
      <c r="AG40" s="58"/>
      <c r="AH40" s="58"/>
      <c r="AI40" s="58"/>
      <c r="AJ40" s="59">
        <v>4100</v>
      </c>
      <c r="AK40" s="59">
        <v>104100</v>
      </c>
      <c r="AL40" s="56"/>
      <c r="AM40" s="2"/>
      <c r="AN40" s="2"/>
      <c r="AO40" s="23"/>
      <c r="AQ40" s="167"/>
      <c r="AR40" s="551"/>
      <c r="AS40" s="552"/>
      <c r="AT40" s="552"/>
      <c r="AU40" s="552"/>
      <c r="AV40" s="552"/>
      <c r="AW40" s="552"/>
      <c r="AX40" s="555" t="s">
        <v>583</v>
      </c>
      <c r="AY40" s="543" t="s">
        <v>584</v>
      </c>
      <c r="AZ40" s="2"/>
      <c r="BA40" s="567"/>
      <c r="BB40" s="567"/>
      <c r="BC40" s="567"/>
      <c r="BD40" s="567"/>
      <c r="BE40" s="398" t="s">
        <v>538</v>
      </c>
      <c r="BF40" s="398" t="s">
        <v>596</v>
      </c>
      <c r="BG40" s="23"/>
    </row>
    <row r="41" spans="2:59" ht="12.75">
      <c r="B41" s="167"/>
      <c r="C41" s="531"/>
      <c r="D41" s="532"/>
      <c r="E41" s="532"/>
      <c r="F41" s="533"/>
      <c r="G41" s="56"/>
      <c r="H41" s="40">
        <v>6</v>
      </c>
      <c r="I41" s="42">
        <v>1376</v>
      </c>
      <c r="J41" s="39">
        <f t="shared" si="7"/>
        <v>3555555.5555555555</v>
      </c>
      <c r="K41" s="40">
        <f t="shared" si="5"/>
        <v>19555555.555555556</v>
      </c>
      <c r="L41" s="39">
        <f t="shared" si="6"/>
        <v>16444444.444444444</v>
      </c>
      <c r="M41" s="173"/>
      <c r="N41" s="2"/>
      <c r="O41" s="2"/>
      <c r="P41" s="2"/>
      <c r="Q41" s="2"/>
      <c r="R41" s="2"/>
      <c r="S41" s="56"/>
      <c r="T41" s="56"/>
      <c r="U41" s="35">
        <v>7</v>
      </c>
      <c r="V41" s="35">
        <v>1377</v>
      </c>
      <c r="W41" s="39">
        <f t="shared" si="2"/>
        <v>3555555.5555555555</v>
      </c>
      <c r="X41" s="40">
        <f t="shared" si="3"/>
        <v>1771018.7960657908</v>
      </c>
      <c r="Y41" s="40">
        <f t="shared" si="4"/>
        <v>2133333.3333333335</v>
      </c>
      <c r="Z41" s="40">
        <f t="shared" si="0"/>
        <v>1450014.1602945342</v>
      </c>
      <c r="AA41" s="40">
        <f t="shared" si="1"/>
        <v>3056716.417910448</v>
      </c>
      <c r="AB41" s="2"/>
      <c r="AC41" s="23"/>
      <c r="AE41" s="159"/>
      <c r="AF41" s="35">
        <v>1</v>
      </c>
      <c r="AG41" s="60">
        <f aca="true" t="shared" si="8" ref="AG41:AG50">$AI$36</f>
        <v>4500</v>
      </c>
      <c r="AH41" s="60">
        <f aca="true" t="shared" si="9" ref="AH41:AH50">(AK40*$AI$37)/2</f>
        <v>4164</v>
      </c>
      <c r="AI41" s="60">
        <f>AG41-AH41</f>
        <v>336</v>
      </c>
      <c r="AJ41" s="60">
        <f>AJ40-AI41</f>
        <v>3764</v>
      </c>
      <c r="AK41" s="60">
        <f>AK40-AI41</f>
        <v>103764</v>
      </c>
      <c r="AL41" s="56"/>
      <c r="AM41" s="2"/>
      <c r="AN41" s="2"/>
      <c r="AO41" s="23"/>
      <c r="AQ41" s="167"/>
      <c r="AR41" s="553"/>
      <c r="AS41" s="554"/>
      <c r="AT41" s="554"/>
      <c r="AU41" s="554"/>
      <c r="AV41" s="554"/>
      <c r="AW41" s="554"/>
      <c r="AX41" s="556"/>
      <c r="AY41" s="544"/>
      <c r="AZ41" s="2"/>
      <c r="BA41" s="400" t="s">
        <v>597</v>
      </c>
      <c r="BB41" s="401"/>
      <c r="BC41" s="401"/>
      <c r="BD41" s="401"/>
      <c r="BE41" s="401"/>
      <c r="BF41" s="402"/>
      <c r="BG41" s="23"/>
    </row>
    <row r="42" spans="2:59" ht="15">
      <c r="B42" s="167"/>
      <c r="C42" s="24">
        <v>6</v>
      </c>
      <c r="D42" s="24">
        <v>1371</v>
      </c>
      <c r="E42" s="24">
        <v>25000</v>
      </c>
      <c r="F42" s="24">
        <v>1250</v>
      </c>
      <c r="G42" s="56"/>
      <c r="H42" s="39">
        <v>7</v>
      </c>
      <c r="I42" s="41">
        <v>1377</v>
      </c>
      <c r="J42" s="39">
        <f t="shared" si="7"/>
        <v>3555555.5555555555</v>
      </c>
      <c r="K42" s="40">
        <f t="shared" si="5"/>
        <v>23111111.111111112</v>
      </c>
      <c r="L42" s="39">
        <f t="shared" si="6"/>
        <v>12888888.888888888</v>
      </c>
      <c r="M42" s="173"/>
      <c r="N42" s="2"/>
      <c r="O42" s="2"/>
      <c r="P42" s="2"/>
      <c r="Q42" s="2"/>
      <c r="R42" s="2"/>
      <c r="S42" s="56"/>
      <c r="T42" s="56"/>
      <c r="U42" s="35">
        <v>8</v>
      </c>
      <c r="V42" s="35">
        <v>1378</v>
      </c>
      <c r="W42" s="39">
        <f t="shared" si="2"/>
        <v>3555555.5555555555</v>
      </c>
      <c r="X42" s="40">
        <f t="shared" si="3"/>
        <v>1377459.0636067265</v>
      </c>
      <c r="Y42" s="40">
        <f t="shared" si="4"/>
        <v>1422222.2222222222</v>
      </c>
      <c r="Z42" s="40">
        <f t="shared" si="0"/>
        <v>906258.8501840838</v>
      </c>
      <c r="AA42" s="40">
        <f t="shared" si="1"/>
        <v>2674626.8656716417</v>
      </c>
      <c r="AB42" s="2"/>
      <c r="AC42" s="23"/>
      <c r="AE42" s="159"/>
      <c r="AF42" s="35">
        <v>2</v>
      </c>
      <c r="AG42" s="60">
        <f t="shared" si="8"/>
        <v>4500</v>
      </c>
      <c r="AH42" s="60">
        <f t="shared" si="9"/>
        <v>4150.56</v>
      </c>
      <c r="AI42" s="60">
        <f aca="true" t="shared" si="10" ref="AI42:AI50">AG42-AH42</f>
        <v>349.4399999999996</v>
      </c>
      <c r="AJ42" s="60">
        <f aca="true" t="shared" si="11" ref="AJ42:AJ50">AJ41-AI42</f>
        <v>3414.5600000000004</v>
      </c>
      <c r="AK42" s="60">
        <f aca="true" t="shared" si="12" ref="AK42:AK50">AK41-AI42</f>
        <v>103414.56</v>
      </c>
      <c r="AL42" s="56"/>
      <c r="AM42" s="2"/>
      <c r="AN42" s="2"/>
      <c r="AO42" s="23"/>
      <c r="AQ42" s="167"/>
      <c r="AR42" s="553" t="s">
        <v>585</v>
      </c>
      <c r="AS42" s="554" t="s">
        <v>585</v>
      </c>
      <c r="AT42" s="554" t="s">
        <v>585</v>
      </c>
      <c r="AU42" s="554" t="s">
        <v>585</v>
      </c>
      <c r="AV42" s="554" t="s">
        <v>585</v>
      </c>
      <c r="AW42" s="233"/>
      <c r="AX42" s="229">
        <v>0</v>
      </c>
      <c r="AY42" s="230">
        <v>0</v>
      </c>
      <c r="AZ42" s="2"/>
      <c r="BA42" s="403" t="str">
        <f>AR42</f>
        <v>کالای د ر جریان ساخت 30 تیر ماه</v>
      </c>
      <c r="BB42" s="3"/>
      <c r="BC42" s="3"/>
      <c r="BD42" s="3">
        <f>AX42</f>
        <v>0</v>
      </c>
      <c r="BE42" s="3"/>
      <c r="BF42" s="404"/>
      <c r="BG42" s="23"/>
    </row>
    <row r="43" spans="2:59" ht="15">
      <c r="B43" s="167"/>
      <c r="C43" s="24">
        <v>12</v>
      </c>
      <c r="D43" s="24">
        <v>1372</v>
      </c>
      <c r="E43" s="24">
        <v>43000</v>
      </c>
      <c r="F43" s="24">
        <v>6000</v>
      </c>
      <c r="G43" s="56"/>
      <c r="H43" s="40">
        <v>8</v>
      </c>
      <c r="I43" s="42">
        <v>1378</v>
      </c>
      <c r="J43" s="39">
        <f t="shared" si="7"/>
        <v>3555555.5555555555</v>
      </c>
      <c r="K43" s="40">
        <f t="shared" si="5"/>
        <v>26666666.666666668</v>
      </c>
      <c r="L43" s="39">
        <f t="shared" si="6"/>
        <v>9333333.333333332</v>
      </c>
      <c r="M43" s="173"/>
      <c r="N43" s="2"/>
      <c r="O43" s="2"/>
      <c r="P43" s="2"/>
      <c r="Q43" s="2"/>
      <c r="R43" s="2"/>
      <c r="S43" s="56"/>
      <c r="T43" s="56"/>
      <c r="U43" s="35">
        <v>9</v>
      </c>
      <c r="V43" s="35">
        <v>1379</v>
      </c>
      <c r="W43" s="39">
        <f t="shared" si="2"/>
        <v>3555555.5555555555</v>
      </c>
      <c r="X43" s="40">
        <f t="shared" si="3"/>
        <v>821106.722623542</v>
      </c>
      <c r="Y43" s="40">
        <f t="shared" si="4"/>
        <v>711111.1111111111</v>
      </c>
      <c r="Z43" s="40">
        <f t="shared" si="0"/>
        <v>280940.24355706596</v>
      </c>
      <c r="AA43" s="40">
        <f t="shared" si="1"/>
        <v>2626865.6716417912</v>
      </c>
      <c r="AB43" s="2"/>
      <c r="AC43" s="23"/>
      <c r="AE43" s="159"/>
      <c r="AF43" s="35">
        <v>3</v>
      </c>
      <c r="AG43" s="60">
        <f t="shared" si="8"/>
        <v>4500</v>
      </c>
      <c r="AH43" s="60">
        <f t="shared" si="9"/>
        <v>4136.5824</v>
      </c>
      <c r="AI43" s="60">
        <f t="shared" si="10"/>
        <v>363.41759999999977</v>
      </c>
      <c r="AJ43" s="60">
        <f t="shared" si="11"/>
        <v>3051.1424000000006</v>
      </c>
      <c r="AK43" s="60">
        <f t="shared" si="12"/>
        <v>103051.1424</v>
      </c>
      <c r="AL43" s="56"/>
      <c r="AM43" s="2"/>
      <c r="AN43" s="2"/>
      <c r="AO43" s="23"/>
      <c r="AQ43" s="167"/>
      <c r="AR43" s="553" t="s">
        <v>586</v>
      </c>
      <c r="AS43" s="554" t="s">
        <v>586</v>
      </c>
      <c r="AT43" s="554" t="s">
        <v>586</v>
      </c>
      <c r="AU43" s="554" t="s">
        <v>586</v>
      </c>
      <c r="AV43" s="554" t="s">
        <v>586</v>
      </c>
      <c r="AW43" s="233"/>
      <c r="AX43" s="232">
        <v>20000</v>
      </c>
      <c r="AY43" s="235">
        <v>43200</v>
      </c>
      <c r="AZ43" s="2"/>
      <c r="BA43" s="403" t="str">
        <f>AR43</f>
        <v>اقدام به تولید طی تیر ماه</v>
      </c>
      <c r="BB43" s="3"/>
      <c r="BC43" s="3"/>
      <c r="BD43" s="3">
        <f>AX43</f>
        <v>20000</v>
      </c>
      <c r="BE43" s="3"/>
      <c r="BF43" s="404"/>
      <c r="BG43" s="23"/>
    </row>
    <row r="44" spans="2:59" ht="15.75" thickBot="1">
      <c r="B44" s="167"/>
      <c r="C44" s="24">
        <v>12</v>
      </c>
      <c r="D44" s="24">
        <v>1373</v>
      </c>
      <c r="E44" s="24">
        <v>37000</v>
      </c>
      <c r="F44" s="24">
        <v>5500</v>
      </c>
      <c r="G44" s="56"/>
      <c r="H44" s="39">
        <v>9</v>
      </c>
      <c r="I44" s="41">
        <v>1379</v>
      </c>
      <c r="J44" s="39">
        <f t="shared" si="7"/>
        <v>3555555.5555555555</v>
      </c>
      <c r="K44" s="40">
        <f t="shared" si="5"/>
        <v>30222222.222222224</v>
      </c>
      <c r="L44" s="39">
        <f t="shared" si="6"/>
        <v>5777777.777777776</v>
      </c>
      <c r="M44" s="173"/>
      <c r="N44" s="2"/>
      <c r="O44" s="2"/>
      <c r="P44" s="2"/>
      <c r="Q44" s="2"/>
      <c r="R44" s="2"/>
      <c r="S44" s="56"/>
      <c r="T44" s="56"/>
      <c r="U44" s="35">
        <v>10</v>
      </c>
      <c r="V44" s="35">
        <v>1380</v>
      </c>
      <c r="W44" s="39">
        <f t="shared" si="2"/>
        <v>1777777.7777777778</v>
      </c>
      <c r="X44" s="40"/>
      <c r="Y44" s="40"/>
      <c r="Z44" s="40"/>
      <c r="AA44" s="40"/>
      <c r="AB44" s="2"/>
      <c r="AC44" s="23"/>
      <c r="AE44" s="159"/>
      <c r="AF44" s="35">
        <v>4</v>
      </c>
      <c r="AG44" s="60">
        <f t="shared" si="8"/>
        <v>4500</v>
      </c>
      <c r="AH44" s="60">
        <f t="shared" si="9"/>
        <v>4122.045696</v>
      </c>
      <c r="AI44" s="60">
        <f t="shared" si="10"/>
        <v>377.95430399999987</v>
      </c>
      <c r="AJ44" s="60">
        <f t="shared" si="11"/>
        <v>2673.1880960000008</v>
      </c>
      <c r="AK44" s="60">
        <f t="shared" si="12"/>
        <v>102673.188096</v>
      </c>
      <c r="AL44" s="56"/>
      <c r="AM44" s="2"/>
      <c r="AN44" s="2"/>
      <c r="AO44" s="23"/>
      <c r="AQ44" s="167"/>
      <c r="AR44" s="553" t="s">
        <v>587</v>
      </c>
      <c r="AS44" s="554" t="s">
        <v>587</v>
      </c>
      <c r="AT44" s="554" t="s">
        <v>587</v>
      </c>
      <c r="AU44" s="554" t="s">
        <v>587</v>
      </c>
      <c r="AV44" s="554" t="s">
        <v>587</v>
      </c>
      <c r="AW44" s="233"/>
      <c r="AX44" s="397">
        <v>20000</v>
      </c>
      <c r="AY44" s="231">
        <v>43200</v>
      </c>
      <c r="AZ44" s="2"/>
      <c r="BA44" s="403" t="str">
        <f>AR44</f>
        <v>کل قابل محاسبه </v>
      </c>
      <c r="BB44" s="3"/>
      <c r="BC44" s="3"/>
      <c r="BD44" s="399">
        <f>SUM(BD42:BD43)</f>
        <v>20000</v>
      </c>
      <c r="BE44" s="3"/>
      <c r="BF44" s="404"/>
      <c r="BG44" s="23"/>
    </row>
    <row r="45" spans="2:59" ht="15.75" thickTop="1">
      <c r="B45" s="167"/>
      <c r="C45" s="24">
        <v>12</v>
      </c>
      <c r="D45" s="24">
        <v>1374</v>
      </c>
      <c r="E45" s="24">
        <v>25000</v>
      </c>
      <c r="F45" s="24">
        <v>4500</v>
      </c>
      <c r="G45" s="56"/>
      <c r="H45" s="40">
        <v>10</v>
      </c>
      <c r="I45" s="42">
        <v>1380</v>
      </c>
      <c r="J45" s="39">
        <f>SLN($E$36,$E$37,$E$38)/2</f>
        <v>1777777.7777777778</v>
      </c>
      <c r="K45" s="40">
        <f t="shared" si="5"/>
        <v>32000000</v>
      </c>
      <c r="L45" s="39">
        <f t="shared" si="6"/>
        <v>4000000</v>
      </c>
      <c r="M45" s="173"/>
      <c r="N45" s="2"/>
      <c r="O45" s="2"/>
      <c r="P45" s="2"/>
      <c r="Q45" s="2"/>
      <c r="R45" s="2"/>
      <c r="S45" s="56"/>
      <c r="T45" s="56"/>
      <c r="U45" s="46"/>
      <c r="V45" s="46"/>
      <c r="W45" s="47">
        <f>SUM(W35:W44)</f>
        <v>32000000</v>
      </c>
      <c r="X45" s="47">
        <f>SUM(X35:X44)</f>
        <v>32000000.000000004</v>
      </c>
      <c r="Y45" s="47">
        <f>SUM(Y35:Y44)</f>
        <v>32000000</v>
      </c>
      <c r="Z45" s="47">
        <f>SUM(Z35:Z44)</f>
        <v>32000000</v>
      </c>
      <c r="AA45" s="47">
        <f>SUM(AA35:AA44)</f>
        <v>32000000</v>
      </c>
      <c r="AB45" s="2"/>
      <c r="AC45" s="23"/>
      <c r="AE45" s="159"/>
      <c r="AF45" s="35">
        <v>5</v>
      </c>
      <c r="AG45" s="60">
        <f t="shared" si="8"/>
        <v>4500</v>
      </c>
      <c r="AH45" s="60">
        <f t="shared" si="9"/>
        <v>4106.92752384</v>
      </c>
      <c r="AI45" s="60">
        <f t="shared" si="10"/>
        <v>393.0724761600004</v>
      </c>
      <c r="AJ45" s="60">
        <f t="shared" si="11"/>
        <v>2280.1156198400004</v>
      </c>
      <c r="AK45" s="60">
        <f t="shared" si="12"/>
        <v>102280.11561984</v>
      </c>
      <c r="AL45" s="56"/>
      <c r="AM45" s="2"/>
      <c r="AN45" s="2"/>
      <c r="AO45" s="23"/>
      <c r="AQ45" s="167"/>
      <c r="AR45" s="553" t="s">
        <v>588</v>
      </c>
      <c r="AS45" s="554" t="s">
        <v>588</v>
      </c>
      <c r="AT45" s="554" t="s">
        <v>588</v>
      </c>
      <c r="AU45" s="554" t="s">
        <v>588</v>
      </c>
      <c r="AV45" s="554" t="s">
        <v>588</v>
      </c>
      <c r="AW45" s="233"/>
      <c r="AX45" s="229">
        <v>16000</v>
      </c>
      <c r="AY45" s="230" t="s">
        <v>589</v>
      </c>
      <c r="AZ45" s="2"/>
      <c r="BA45" s="403" t="str">
        <f>AR47</f>
        <v>کل محاسبه شده </v>
      </c>
      <c r="BB45" s="3"/>
      <c r="BC45" s="3"/>
      <c r="BD45" s="3"/>
      <c r="BE45" s="3"/>
      <c r="BF45" s="404"/>
      <c r="BG45" s="23"/>
    </row>
    <row r="46" spans="2:59" ht="15">
      <c r="B46" s="167"/>
      <c r="C46" s="24">
        <v>12</v>
      </c>
      <c r="D46" s="24">
        <v>1375</v>
      </c>
      <c r="E46" s="24">
        <v>20000</v>
      </c>
      <c r="F46" s="24">
        <v>4000</v>
      </c>
      <c r="G46" s="56"/>
      <c r="H46" s="40"/>
      <c r="I46" s="40"/>
      <c r="J46" s="40">
        <f>SUM(J36:J45)</f>
        <v>32000000</v>
      </c>
      <c r="K46" s="40"/>
      <c r="L46" s="39"/>
      <c r="M46" s="173"/>
      <c r="N46" s="2"/>
      <c r="O46" s="2"/>
      <c r="P46" s="2"/>
      <c r="Q46" s="2"/>
      <c r="R46" s="2"/>
      <c r="S46" s="56"/>
      <c r="T46" s="56"/>
      <c r="U46" s="56"/>
      <c r="V46" s="56"/>
      <c r="W46" s="56"/>
      <c r="X46" s="56"/>
      <c r="Y46" s="56"/>
      <c r="Z46" s="56"/>
      <c r="AA46" s="56"/>
      <c r="AB46" s="2"/>
      <c r="AC46" s="23"/>
      <c r="AE46" s="159"/>
      <c r="AF46" s="35">
        <v>6</v>
      </c>
      <c r="AG46" s="60">
        <f t="shared" si="8"/>
        <v>4500</v>
      </c>
      <c r="AH46" s="60">
        <f t="shared" si="9"/>
        <v>4091.2046247936</v>
      </c>
      <c r="AI46" s="60">
        <f t="shared" si="10"/>
        <v>408.79537520639997</v>
      </c>
      <c r="AJ46" s="60">
        <f t="shared" si="11"/>
        <v>1871.3202446336004</v>
      </c>
      <c r="AK46" s="60">
        <f t="shared" si="12"/>
        <v>101871.32024463359</v>
      </c>
      <c r="AL46" s="56"/>
      <c r="AM46" s="2"/>
      <c r="AN46" s="2"/>
      <c r="AO46" s="23"/>
      <c r="AQ46" s="167"/>
      <c r="AR46" s="553" t="s">
        <v>590</v>
      </c>
      <c r="AS46" s="554" t="s">
        <v>590</v>
      </c>
      <c r="AT46" s="554" t="s">
        <v>590</v>
      </c>
      <c r="AU46" s="554" t="s">
        <v>590</v>
      </c>
      <c r="AV46" s="554" t="s">
        <v>590</v>
      </c>
      <c r="AW46" s="233"/>
      <c r="AX46" s="232">
        <v>4000</v>
      </c>
      <c r="AY46" s="235" t="s">
        <v>591</v>
      </c>
      <c r="AZ46" s="2"/>
      <c r="BA46" s="403" t="str">
        <f>AR45</f>
        <v>تکمیل شده و انتقال یافته به دایره تکمیل در طی تیر ماه</v>
      </c>
      <c r="BB46" s="3"/>
      <c r="BC46" s="3"/>
      <c r="BD46" s="3">
        <f>AX45</f>
        <v>16000</v>
      </c>
      <c r="BE46" s="3">
        <f>AX45</f>
        <v>16000</v>
      </c>
      <c r="BF46" s="404">
        <f>AX45</f>
        <v>16000</v>
      </c>
      <c r="BG46" s="23"/>
    </row>
    <row r="47" spans="2:59" ht="15">
      <c r="B47" s="167"/>
      <c r="C47" s="24">
        <v>12</v>
      </c>
      <c r="D47" s="24">
        <v>1376</v>
      </c>
      <c r="E47" s="24">
        <v>12000</v>
      </c>
      <c r="F47" s="24">
        <v>3500</v>
      </c>
      <c r="G47" s="56"/>
      <c r="H47" s="173"/>
      <c r="I47" s="173"/>
      <c r="J47" s="173"/>
      <c r="K47" s="173"/>
      <c r="L47" s="173"/>
      <c r="M47" s="173"/>
      <c r="N47" s="2"/>
      <c r="O47" s="2"/>
      <c r="P47" s="2"/>
      <c r="Q47" s="2"/>
      <c r="R47" s="2"/>
      <c r="S47" s="56"/>
      <c r="T47" s="56"/>
      <c r="U47" s="56"/>
      <c r="V47" s="56"/>
      <c r="W47" s="56"/>
      <c r="X47" s="56"/>
      <c r="Y47" s="56"/>
      <c r="Z47" s="56"/>
      <c r="AA47" s="56"/>
      <c r="AB47" s="2"/>
      <c r="AC47" s="23"/>
      <c r="AE47" s="159"/>
      <c r="AF47" s="35">
        <v>7</v>
      </c>
      <c r="AG47" s="60">
        <f t="shared" si="8"/>
        <v>4500</v>
      </c>
      <c r="AH47" s="60">
        <f t="shared" si="9"/>
        <v>4074.8528097853437</v>
      </c>
      <c r="AI47" s="60">
        <f t="shared" si="10"/>
        <v>425.14719021465635</v>
      </c>
      <c r="AJ47" s="60">
        <f t="shared" si="11"/>
        <v>1446.173054418944</v>
      </c>
      <c r="AK47" s="60">
        <f t="shared" si="12"/>
        <v>101446.17305441893</v>
      </c>
      <c r="AL47" s="56"/>
      <c r="AM47" s="2"/>
      <c r="AN47" s="2"/>
      <c r="AO47" s="23"/>
      <c r="AQ47" s="167"/>
      <c r="AR47" s="553" t="s">
        <v>592</v>
      </c>
      <c r="AS47" s="554"/>
      <c r="AT47" s="554"/>
      <c r="AU47" s="554"/>
      <c r="AV47" s="554"/>
      <c r="AW47" s="233"/>
      <c r="AX47" s="344">
        <v>20000</v>
      </c>
      <c r="AY47" s="236">
        <v>43200</v>
      </c>
      <c r="AZ47" s="2"/>
      <c r="BA47" s="568" t="str">
        <f>AR46</f>
        <v>کالای در جریان ساخت 31 مرداد ( 25% تکمیل از لحاظ مواد و 55% تکمیل از لحاظ هزینه های تبدیل )</v>
      </c>
      <c r="BB47" s="569"/>
      <c r="BC47" s="569"/>
      <c r="BD47" s="3">
        <f>AX46</f>
        <v>4000</v>
      </c>
      <c r="BE47" s="3">
        <f>0.25*AX46</f>
        <v>1000</v>
      </c>
      <c r="BF47" s="404">
        <f>0.55*AX46</f>
        <v>2200</v>
      </c>
      <c r="BG47" s="23"/>
    </row>
    <row r="48" spans="2:59" ht="15.75" customHeight="1">
      <c r="B48" s="167"/>
      <c r="C48" s="24">
        <v>12</v>
      </c>
      <c r="D48" s="24">
        <v>1377</v>
      </c>
      <c r="E48" s="24">
        <v>8000</v>
      </c>
      <c r="F48" s="24">
        <v>3200</v>
      </c>
      <c r="G48" s="56"/>
      <c r="H48" s="510" t="s">
        <v>72</v>
      </c>
      <c r="I48" s="510"/>
      <c r="J48" s="510"/>
      <c r="K48" s="510"/>
      <c r="L48" s="510"/>
      <c r="M48" s="173"/>
      <c r="N48" s="2"/>
      <c r="O48" s="2"/>
      <c r="P48" s="2"/>
      <c r="Q48" s="2"/>
      <c r="R48" s="2"/>
      <c r="S48" s="56"/>
      <c r="T48" s="56"/>
      <c r="U48" s="56"/>
      <c r="V48" s="56"/>
      <c r="W48" s="56"/>
      <c r="X48" s="56"/>
      <c r="Y48" s="56"/>
      <c r="Z48" s="56"/>
      <c r="AA48" s="56"/>
      <c r="AB48" s="2"/>
      <c r="AC48" s="23"/>
      <c r="AE48" s="159"/>
      <c r="AF48" s="35">
        <v>8</v>
      </c>
      <c r="AG48" s="60">
        <f t="shared" si="8"/>
        <v>4500</v>
      </c>
      <c r="AH48" s="60">
        <f t="shared" si="9"/>
        <v>4057.8469221767573</v>
      </c>
      <c r="AI48" s="60">
        <f t="shared" si="10"/>
        <v>442.1530778232427</v>
      </c>
      <c r="AJ48" s="60">
        <f t="shared" si="11"/>
        <v>1004.0199765957013</v>
      </c>
      <c r="AK48" s="60">
        <f t="shared" si="12"/>
        <v>101004.0199765957</v>
      </c>
      <c r="AL48" s="56"/>
      <c r="AM48" s="2"/>
      <c r="AN48" s="2"/>
      <c r="AO48" s="23"/>
      <c r="AQ48" s="167"/>
      <c r="AR48" s="557" t="s">
        <v>593</v>
      </c>
      <c r="AS48" s="558"/>
      <c r="AT48" s="558"/>
      <c r="AU48" s="558"/>
      <c r="AV48" s="558"/>
      <c r="AW48" s="558"/>
      <c r="AX48" s="558"/>
      <c r="AY48" s="559"/>
      <c r="AZ48" s="2"/>
      <c r="BA48" s="568"/>
      <c r="BB48" s="569"/>
      <c r="BC48" s="569"/>
      <c r="BD48" s="3"/>
      <c r="BE48" s="3"/>
      <c r="BF48" s="404"/>
      <c r="BG48" s="23"/>
    </row>
    <row r="49" spans="2:59" ht="15.75" thickBot="1">
      <c r="B49" s="167"/>
      <c r="C49" s="24">
        <v>12</v>
      </c>
      <c r="D49" s="24">
        <v>1378</v>
      </c>
      <c r="E49" s="24">
        <v>5000</v>
      </c>
      <c r="F49" s="24">
        <v>2800</v>
      </c>
      <c r="G49" s="56"/>
      <c r="H49" s="36" t="s">
        <v>65</v>
      </c>
      <c r="I49" s="36" t="s">
        <v>66</v>
      </c>
      <c r="J49" s="38" t="s">
        <v>67</v>
      </c>
      <c r="K49" s="38" t="s">
        <v>68</v>
      </c>
      <c r="L49" s="38" t="s">
        <v>69</v>
      </c>
      <c r="M49" s="173"/>
      <c r="N49" s="2"/>
      <c r="O49" s="2"/>
      <c r="P49" s="2"/>
      <c r="Q49" s="2"/>
      <c r="R49" s="2"/>
      <c r="S49" s="56"/>
      <c r="T49" s="56"/>
      <c r="U49" s="56"/>
      <c r="V49" s="56"/>
      <c r="W49" s="56"/>
      <c r="X49" s="56"/>
      <c r="Y49" s="56"/>
      <c r="Z49" s="56"/>
      <c r="AA49" s="56"/>
      <c r="AB49" s="2"/>
      <c r="AC49" s="23"/>
      <c r="AE49" s="159"/>
      <c r="AF49" s="35">
        <v>9</v>
      </c>
      <c r="AG49" s="60">
        <f t="shared" si="8"/>
        <v>4500</v>
      </c>
      <c r="AH49" s="60">
        <f t="shared" si="9"/>
        <v>4040.1607990638277</v>
      </c>
      <c r="AI49" s="60">
        <f t="shared" si="10"/>
        <v>459.83920093617235</v>
      </c>
      <c r="AJ49" s="60">
        <f t="shared" si="11"/>
        <v>544.180775659529</v>
      </c>
      <c r="AK49" s="60">
        <f t="shared" si="12"/>
        <v>100544.18077565952</v>
      </c>
      <c r="AL49" s="56"/>
      <c r="AM49" s="2"/>
      <c r="AN49" s="2"/>
      <c r="AO49" s="23"/>
      <c r="AQ49" s="167"/>
      <c r="AR49" s="2"/>
      <c r="AS49" s="2"/>
      <c r="AT49" s="2"/>
      <c r="AU49" s="2"/>
      <c r="AV49" s="2"/>
      <c r="AW49" s="2"/>
      <c r="AX49" s="2"/>
      <c r="AY49" s="2"/>
      <c r="AZ49" s="2"/>
      <c r="BA49" s="403" t="str">
        <f>BD39</f>
        <v>آحاد فیزیکی</v>
      </c>
      <c r="BB49" s="3"/>
      <c r="BC49" s="3"/>
      <c r="BD49" s="399">
        <f>SUM(BD46:BD47)</f>
        <v>20000</v>
      </c>
      <c r="BE49" s="3"/>
      <c r="BF49" s="404"/>
      <c r="BG49" s="23"/>
    </row>
    <row r="50" spans="2:59" ht="15.75" thickTop="1">
      <c r="B50" s="167"/>
      <c r="C50" s="24">
        <v>6</v>
      </c>
      <c r="D50" s="24">
        <v>1379</v>
      </c>
      <c r="E50" s="24">
        <v>1550</v>
      </c>
      <c r="F50" s="24">
        <v>2750</v>
      </c>
      <c r="G50" s="56"/>
      <c r="H50" s="39">
        <v>1</v>
      </c>
      <c r="I50" s="41">
        <v>1371</v>
      </c>
      <c r="J50" s="39">
        <f>DDB($E$36,$E$37,$E$38,H50)</f>
        <v>8000000</v>
      </c>
      <c r="K50" s="39">
        <f>J50</f>
        <v>8000000</v>
      </c>
      <c r="L50" s="39">
        <f>$E$36-K50</f>
        <v>28000000</v>
      </c>
      <c r="M50" s="173"/>
      <c r="N50" s="2"/>
      <c r="O50" s="2"/>
      <c r="P50" s="2"/>
      <c r="Q50" s="2"/>
      <c r="R50" s="2"/>
      <c r="S50" s="56"/>
      <c r="T50" s="56"/>
      <c r="U50" s="56"/>
      <c r="V50" s="56"/>
      <c r="W50" s="56"/>
      <c r="X50" s="56"/>
      <c r="Y50" s="56"/>
      <c r="Z50" s="56"/>
      <c r="AA50" s="56"/>
      <c r="AB50" s="2"/>
      <c r="AC50" s="23"/>
      <c r="AE50" s="159"/>
      <c r="AF50" s="35">
        <v>10</v>
      </c>
      <c r="AG50" s="60">
        <f t="shared" si="8"/>
        <v>4500</v>
      </c>
      <c r="AH50" s="60">
        <f t="shared" si="9"/>
        <v>4021.767231026381</v>
      </c>
      <c r="AI50" s="60">
        <f t="shared" si="10"/>
        <v>478.23276897361893</v>
      </c>
      <c r="AJ50" s="60">
        <f t="shared" si="11"/>
        <v>65.94800668591006</v>
      </c>
      <c r="AK50" s="60">
        <f t="shared" si="12"/>
        <v>100065.94800668591</v>
      </c>
      <c r="AL50" s="56"/>
      <c r="AM50" s="2"/>
      <c r="AN50" s="2"/>
      <c r="AO50" s="23"/>
      <c r="AQ50" s="167"/>
      <c r="AR50" s="2"/>
      <c r="AS50" s="2"/>
      <c r="AT50" s="2"/>
      <c r="AU50" s="2"/>
      <c r="AV50" s="2"/>
      <c r="AW50" s="2"/>
      <c r="AX50" s="2"/>
      <c r="AY50" s="2"/>
      <c r="AZ50" s="2"/>
      <c r="BA50" s="405" t="str">
        <f>BE39</f>
        <v>معادل احاد تولید</v>
      </c>
      <c r="BB50" s="406"/>
      <c r="BC50" s="406"/>
      <c r="BD50" s="406"/>
      <c r="BE50" s="407">
        <f>SUM(BE46:BE49)</f>
        <v>17000</v>
      </c>
      <c r="BF50" s="408">
        <f>SUM(BF46:BF49)</f>
        <v>18200</v>
      </c>
      <c r="BG50" s="23"/>
    </row>
    <row r="51" spans="2:59" ht="15">
      <c r="B51" s="167"/>
      <c r="C51" s="25">
        <f>SUM(C42:C50)</f>
        <v>96</v>
      </c>
      <c r="D51" s="25" t="s">
        <v>59</v>
      </c>
      <c r="E51" s="25">
        <f>SUM(E42:E50)</f>
        <v>176550</v>
      </c>
      <c r="F51" s="25">
        <f>SUM(F42:F50)</f>
        <v>33500</v>
      </c>
      <c r="G51" s="56"/>
      <c r="H51" s="40">
        <v>2</v>
      </c>
      <c r="I51" s="42">
        <v>1372</v>
      </c>
      <c r="J51" s="39">
        <f aca="true" t="shared" si="13" ref="J51:J58">DDB($E$36,$E$37,$E$38,H51)</f>
        <v>6222222.222222222</v>
      </c>
      <c r="K51" s="40">
        <f aca="true" t="shared" si="14" ref="K51:K59">K50+J51</f>
        <v>14222222.222222222</v>
      </c>
      <c r="L51" s="39">
        <f aca="true" t="shared" si="15" ref="L51:L59">$E$36-K51</f>
        <v>21777777.777777776</v>
      </c>
      <c r="M51" s="173"/>
      <c r="N51" s="2"/>
      <c r="O51" s="2"/>
      <c r="P51" s="2"/>
      <c r="Q51" s="2"/>
      <c r="R51" s="2"/>
      <c r="S51" s="56"/>
      <c r="T51" s="56"/>
      <c r="U51" s="56"/>
      <c r="V51" s="56"/>
      <c r="W51" s="56"/>
      <c r="X51" s="56"/>
      <c r="Y51" s="56"/>
      <c r="Z51" s="56"/>
      <c r="AA51" s="56"/>
      <c r="AB51" s="2"/>
      <c r="AC51" s="23"/>
      <c r="AE51" s="159"/>
      <c r="AF51" s="35"/>
      <c r="AG51" s="35"/>
      <c r="AH51" s="35"/>
      <c r="AI51" s="35"/>
      <c r="AJ51" s="35"/>
      <c r="AK51" s="35"/>
      <c r="AL51" s="56"/>
      <c r="AM51" s="2"/>
      <c r="AN51" s="2"/>
      <c r="AO51" s="23"/>
      <c r="AQ51" s="167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3"/>
    </row>
    <row r="52" spans="2:59" ht="12.75">
      <c r="B52" s="167"/>
      <c r="C52" s="56"/>
      <c r="D52" s="56"/>
      <c r="E52" s="56"/>
      <c r="F52" s="56"/>
      <c r="G52" s="56"/>
      <c r="H52" s="39">
        <v>3</v>
      </c>
      <c r="I52" s="41">
        <v>1373</v>
      </c>
      <c r="J52" s="39">
        <f t="shared" si="13"/>
        <v>4839506.1728395065</v>
      </c>
      <c r="K52" s="40">
        <f t="shared" si="14"/>
        <v>19061728.395061728</v>
      </c>
      <c r="L52" s="39">
        <f t="shared" si="15"/>
        <v>16938271.604938272</v>
      </c>
      <c r="M52" s="173"/>
      <c r="N52" s="2"/>
      <c r="O52" s="2"/>
      <c r="P52" s="2"/>
      <c r="Q52" s="2"/>
      <c r="R52" s="2"/>
      <c r="S52" s="56"/>
      <c r="T52" s="56"/>
      <c r="U52" s="56"/>
      <c r="V52" s="56"/>
      <c r="W52" s="56"/>
      <c r="X52" s="56"/>
      <c r="Y52" s="56"/>
      <c r="Z52" s="56"/>
      <c r="AA52" s="56"/>
      <c r="AB52" s="2"/>
      <c r="AC52" s="23"/>
      <c r="AE52" s="159"/>
      <c r="AF52" s="56"/>
      <c r="AG52" s="56"/>
      <c r="AH52" s="56"/>
      <c r="AI52" s="56"/>
      <c r="AJ52" s="56"/>
      <c r="AK52" s="56"/>
      <c r="AL52" s="56"/>
      <c r="AM52" s="2"/>
      <c r="AN52" s="2"/>
      <c r="AO52" s="23"/>
      <c r="AQ52" s="167"/>
      <c r="AR52" s="2"/>
      <c r="AS52" s="2"/>
      <c r="AT52" s="2"/>
      <c r="AU52" s="2"/>
      <c r="AV52" s="2"/>
      <c r="AW52" s="2"/>
      <c r="AX52" s="2"/>
      <c r="AY52" s="2"/>
      <c r="AZ52" s="2"/>
      <c r="BA52" s="486" t="str">
        <f>BA37</f>
        <v>دایره مونتاژ</v>
      </c>
      <c r="BB52" s="487"/>
      <c r="BC52" s="487"/>
      <c r="BD52" s="487"/>
      <c r="BE52" s="487"/>
      <c r="BF52" s="488"/>
      <c r="BG52" s="23"/>
    </row>
    <row r="53" spans="2:59" ht="12.75">
      <c r="B53" s="167"/>
      <c r="C53" s="56"/>
      <c r="D53" s="56"/>
      <c r="E53" s="56"/>
      <c r="F53" s="56"/>
      <c r="G53" s="56"/>
      <c r="H53" s="40">
        <v>4</v>
      </c>
      <c r="I53" s="42">
        <v>1374</v>
      </c>
      <c r="J53" s="39">
        <f t="shared" si="13"/>
        <v>3764060.356652949</v>
      </c>
      <c r="K53" s="40">
        <f t="shared" si="14"/>
        <v>22825788.751714677</v>
      </c>
      <c r="L53" s="39">
        <f t="shared" si="15"/>
        <v>13174211.248285323</v>
      </c>
      <c r="M53" s="173"/>
      <c r="N53" s="2"/>
      <c r="O53" s="2"/>
      <c r="P53" s="2"/>
      <c r="Q53" s="2"/>
      <c r="R53" s="2"/>
      <c r="S53" s="56"/>
      <c r="T53" s="56"/>
      <c r="U53" s="56"/>
      <c r="V53" s="56"/>
      <c r="W53" s="56"/>
      <c r="X53" s="56"/>
      <c r="Y53" s="56"/>
      <c r="Z53" s="56"/>
      <c r="AA53" s="56"/>
      <c r="AB53" s="2"/>
      <c r="AC53" s="23"/>
      <c r="AE53" s="159"/>
      <c r="AF53" s="56"/>
      <c r="AG53" s="56"/>
      <c r="AH53" s="56"/>
      <c r="AI53" s="56"/>
      <c r="AJ53" s="56"/>
      <c r="AK53" s="56"/>
      <c r="AL53" s="56"/>
      <c r="AM53" s="2"/>
      <c r="AN53" s="2"/>
      <c r="AO53" s="23"/>
      <c r="AQ53" s="167"/>
      <c r="AR53" s="2"/>
      <c r="AS53" s="2"/>
      <c r="AT53" s="2"/>
      <c r="AU53" s="2"/>
      <c r="AV53" s="2"/>
      <c r="AW53" s="2"/>
      <c r="AX53" s="2"/>
      <c r="AY53" s="2"/>
      <c r="AZ53" s="2"/>
      <c r="BA53" s="481" t="str">
        <f>BA38</f>
        <v>برای ماه منتهی به 31 مرداد 1382</v>
      </c>
      <c r="BB53" s="482"/>
      <c r="BC53" s="482"/>
      <c r="BD53" s="482"/>
      <c r="BE53" s="482"/>
      <c r="BF53" s="476"/>
      <c r="BG53" s="23"/>
    </row>
    <row r="54" spans="2:59" ht="12.75">
      <c r="B54" s="167"/>
      <c r="C54" s="56"/>
      <c r="D54" s="56"/>
      <c r="E54" s="56"/>
      <c r="F54" s="56"/>
      <c r="G54" s="56"/>
      <c r="H54" s="39">
        <v>5</v>
      </c>
      <c r="I54" s="41">
        <v>1375</v>
      </c>
      <c r="J54" s="39">
        <f t="shared" si="13"/>
        <v>2927602.4996189605</v>
      </c>
      <c r="K54" s="40">
        <f t="shared" si="14"/>
        <v>25753391.25133364</v>
      </c>
      <c r="L54" s="39">
        <f t="shared" si="15"/>
        <v>10246608.748666361</v>
      </c>
      <c r="M54" s="173"/>
      <c r="N54" s="2"/>
      <c r="O54" s="2"/>
      <c r="P54" s="2"/>
      <c r="Q54" s="2"/>
      <c r="R54" s="2"/>
      <c r="S54" s="56"/>
      <c r="T54" s="56"/>
      <c r="U54" s="56"/>
      <c r="V54" s="56"/>
      <c r="W54" s="56"/>
      <c r="X54" s="56"/>
      <c r="Y54" s="56"/>
      <c r="Z54" s="56"/>
      <c r="AA54" s="56"/>
      <c r="AB54" s="2"/>
      <c r="AC54" s="23"/>
      <c r="AE54" s="159"/>
      <c r="AF54" s="56"/>
      <c r="AG54" s="56"/>
      <c r="AH54" s="56"/>
      <c r="AI54" s="56"/>
      <c r="AJ54" s="56"/>
      <c r="AK54" s="56"/>
      <c r="AL54" s="56"/>
      <c r="AM54" s="2"/>
      <c r="AN54" s="2"/>
      <c r="AO54" s="23"/>
      <c r="AQ54" s="167"/>
      <c r="AR54" s="2"/>
      <c r="AS54" s="2"/>
      <c r="AT54" s="2"/>
      <c r="AU54" s="2"/>
      <c r="AV54" s="2"/>
      <c r="AW54" s="2"/>
      <c r="AX54" s="2"/>
      <c r="AY54" s="2"/>
      <c r="AZ54" s="2"/>
      <c r="BA54" s="410"/>
      <c r="BB54" s="401"/>
      <c r="BC54" s="401"/>
      <c r="BD54" s="411" t="str">
        <f>BE40</f>
        <v>مواد مستقیم</v>
      </c>
      <c r="BE54" s="411" t="str">
        <f>BF40</f>
        <v>هزینه های تبدیل</v>
      </c>
      <c r="BF54" s="412" t="s">
        <v>536</v>
      </c>
      <c r="BG54" s="23"/>
    </row>
    <row r="55" spans="2:59" ht="12.75">
      <c r="B55" s="167"/>
      <c r="C55" s="56"/>
      <c r="D55" s="56"/>
      <c r="E55" s="56"/>
      <c r="F55" s="56"/>
      <c r="G55" s="56"/>
      <c r="H55" s="40">
        <v>6</v>
      </c>
      <c r="I55" s="42">
        <v>1376</v>
      </c>
      <c r="J55" s="39">
        <f t="shared" si="13"/>
        <v>2277024.166370303</v>
      </c>
      <c r="K55" s="40">
        <f t="shared" si="14"/>
        <v>28030415.41770394</v>
      </c>
      <c r="L55" s="39">
        <f t="shared" si="15"/>
        <v>7969584.582296059</v>
      </c>
      <c r="M55" s="173"/>
      <c r="N55" s="2"/>
      <c r="O55" s="2"/>
      <c r="P55" s="2"/>
      <c r="Q55" s="2"/>
      <c r="R55" s="2"/>
      <c r="S55" s="56"/>
      <c r="T55" s="56"/>
      <c r="U55" s="56"/>
      <c r="V55" s="56"/>
      <c r="W55" s="56"/>
      <c r="X55" s="56"/>
      <c r="Y55" s="56"/>
      <c r="Z55" s="56"/>
      <c r="AA55" s="56"/>
      <c r="AB55" s="2"/>
      <c r="AC55" s="23"/>
      <c r="AE55" s="159"/>
      <c r="AF55" s="56"/>
      <c r="AG55" s="56"/>
      <c r="AH55" s="56"/>
      <c r="AI55" s="56"/>
      <c r="AJ55" s="56"/>
      <c r="AK55" s="56"/>
      <c r="AL55" s="56"/>
      <c r="AM55" s="2"/>
      <c r="AN55" s="2"/>
      <c r="AO55" s="23"/>
      <c r="AQ55" s="167"/>
      <c r="AR55" s="2"/>
      <c r="AS55" s="2"/>
      <c r="AT55" s="2"/>
      <c r="AU55" s="2"/>
      <c r="AV55" s="2"/>
      <c r="AW55" s="2"/>
      <c r="AX55" s="2"/>
      <c r="AY55" s="2"/>
      <c r="AZ55" s="2"/>
      <c r="BA55" s="403" t="str">
        <f>AR42</f>
        <v>کالای د ر جریان ساخت 30 تیر ماه</v>
      </c>
      <c r="BB55" s="3"/>
      <c r="BC55" s="3"/>
      <c r="BD55" s="3">
        <f>AX42</f>
        <v>0</v>
      </c>
      <c r="BE55" s="3">
        <f>AY42</f>
        <v>0</v>
      </c>
      <c r="BF55" s="404">
        <f>SUM(BD55:BE55)</f>
        <v>0</v>
      </c>
      <c r="BG55" s="23"/>
    </row>
    <row r="56" spans="2:59" ht="12.75">
      <c r="B56" s="167"/>
      <c r="C56" s="56"/>
      <c r="D56" s="56"/>
      <c r="E56" s="56"/>
      <c r="F56" s="56"/>
      <c r="G56" s="56"/>
      <c r="H56" s="39">
        <v>7</v>
      </c>
      <c r="I56" s="41">
        <v>1377</v>
      </c>
      <c r="J56" s="39">
        <f t="shared" si="13"/>
        <v>1771018.7960657908</v>
      </c>
      <c r="K56" s="40">
        <f t="shared" si="14"/>
        <v>29801434.213769734</v>
      </c>
      <c r="L56" s="39">
        <f>$E$36-K56</f>
        <v>6198565.786230266</v>
      </c>
      <c r="M56" s="173"/>
      <c r="N56" s="2"/>
      <c r="O56" s="2"/>
      <c r="P56" s="2"/>
      <c r="Q56" s="2"/>
      <c r="R56" s="2"/>
      <c r="S56" s="56"/>
      <c r="T56" s="56"/>
      <c r="U56" s="56"/>
      <c r="V56" s="56"/>
      <c r="W56" s="56"/>
      <c r="X56" s="56"/>
      <c r="Y56" s="56"/>
      <c r="Z56" s="56"/>
      <c r="AA56" s="56"/>
      <c r="AB56" s="2"/>
      <c r="AC56" s="23"/>
      <c r="AE56" s="159"/>
      <c r="AF56" s="56"/>
      <c r="AG56" s="56"/>
      <c r="AH56" s="56"/>
      <c r="AI56" s="56"/>
      <c r="AJ56" s="56"/>
      <c r="AK56" s="56"/>
      <c r="AL56" s="56"/>
      <c r="AM56" s="2"/>
      <c r="AN56" s="2"/>
      <c r="AO56" s="23"/>
      <c r="AQ56" s="167"/>
      <c r="AR56" s="2"/>
      <c r="AS56" s="2"/>
      <c r="AT56" s="2"/>
      <c r="AU56" s="2"/>
      <c r="AV56" s="2"/>
      <c r="AW56" s="2"/>
      <c r="AX56" s="2"/>
      <c r="AY56" s="2"/>
      <c r="AZ56" s="2"/>
      <c r="BA56" s="413" t="s">
        <v>598</v>
      </c>
      <c r="BB56" s="3"/>
      <c r="BC56" s="3"/>
      <c r="BD56" s="3">
        <v>6800</v>
      </c>
      <c r="BE56" s="3">
        <v>36400</v>
      </c>
      <c r="BF56" s="404">
        <f>SUM(BD56:BE56)</f>
        <v>43200</v>
      </c>
      <c r="BG56" s="23"/>
    </row>
    <row r="57" spans="2:59" ht="12.75">
      <c r="B57" s="167"/>
      <c r="C57" s="56"/>
      <c r="D57" s="56"/>
      <c r="E57" s="56"/>
      <c r="F57" s="56"/>
      <c r="G57" s="56"/>
      <c r="H57" s="40">
        <v>8</v>
      </c>
      <c r="I57" s="42">
        <v>1378</v>
      </c>
      <c r="J57" s="39">
        <f t="shared" si="13"/>
        <v>1377459.0636067265</v>
      </c>
      <c r="K57" s="40">
        <f t="shared" si="14"/>
        <v>31178893.27737646</v>
      </c>
      <c r="L57" s="39">
        <f t="shared" si="15"/>
        <v>4821106.722623538</v>
      </c>
      <c r="M57" s="173"/>
      <c r="N57" s="2"/>
      <c r="O57" s="2"/>
      <c r="P57" s="2"/>
      <c r="Q57" s="2"/>
      <c r="R57" s="2"/>
      <c r="S57" s="56"/>
      <c r="T57" s="56"/>
      <c r="U57" s="56"/>
      <c r="V57" s="56"/>
      <c r="W57" s="56"/>
      <c r="X57" s="56"/>
      <c r="Y57" s="56"/>
      <c r="Z57" s="56"/>
      <c r="AA57" s="56"/>
      <c r="AB57" s="2"/>
      <c r="AC57" s="23"/>
      <c r="AE57" s="159"/>
      <c r="AF57" s="56"/>
      <c r="AG57" s="56"/>
      <c r="AH57" s="56"/>
      <c r="AI57" s="56"/>
      <c r="AJ57" s="56"/>
      <c r="AK57" s="56"/>
      <c r="AL57" s="56"/>
      <c r="AM57" s="2"/>
      <c r="AN57" s="2"/>
      <c r="AO57" s="23"/>
      <c r="AQ57" s="167"/>
      <c r="AR57" s="2"/>
      <c r="AS57" s="2"/>
      <c r="AT57" s="2"/>
      <c r="AU57" s="2"/>
      <c r="AV57" s="2"/>
      <c r="AW57" s="2"/>
      <c r="AX57" s="2"/>
      <c r="AY57" s="2"/>
      <c r="AZ57" s="2"/>
      <c r="BA57" s="414" t="s">
        <v>599</v>
      </c>
      <c r="BB57" s="406"/>
      <c r="BC57" s="406"/>
      <c r="BD57" s="406"/>
      <c r="BE57" s="406"/>
      <c r="BF57" s="408">
        <f>SUM(BF55:BF56)</f>
        <v>43200</v>
      </c>
      <c r="BG57" s="23"/>
    </row>
    <row r="58" spans="2:59" ht="12.75">
      <c r="B58" s="167"/>
      <c r="C58" s="56"/>
      <c r="D58" s="56"/>
      <c r="E58" s="56"/>
      <c r="F58" s="56"/>
      <c r="G58" s="56"/>
      <c r="H58" s="39">
        <v>9</v>
      </c>
      <c r="I58" s="41">
        <v>1379</v>
      </c>
      <c r="J58" s="39">
        <f t="shared" si="13"/>
        <v>821106.722623542</v>
      </c>
      <c r="K58" s="40">
        <f t="shared" si="14"/>
        <v>32000000.000000004</v>
      </c>
      <c r="L58" s="39">
        <f t="shared" si="15"/>
        <v>3999999.9999999963</v>
      </c>
      <c r="M58" s="173"/>
      <c r="N58" s="2"/>
      <c r="O58" s="2"/>
      <c r="P58" s="2"/>
      <c r="Q58" s="2"/>
      <c r="R58" s="2"/>
      <c r="S58" s="56"/>
      <c r="T58" s="56"/>
      <c r="U58" s="56"/>
      <c r="V58" s="56"/>
      <c r="W58" s="56"/>
      <c r="X58" s="56"/>
      <c r="Y58" s="56"/>
      <c r="Z58" s="56"/>
      <c r="AA58" s="56"/>
      <c r="AB58" s="2"/>
      <c r="AC58" s="23"/>
      <c r="AE58" s="159"/>
      <c r="AF58" s="56"/>
      <c r="AG58" s="56"/>
      <c r="AH58" s="56"/>
      <c r="AI58" s="56"/>
      <c r="AJ58" s="56"/>
      <c r="AK58" s="56"/>
      <c r="AL58" s="56"/>
      <c r="AM58" s="2"/>
      <c r="AN58" s="2"/>
      <c r="AO58" s="23"/>
      <c r="AQ58" s="167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3"/>
    </row>
    <row r="59" spans="2:59" ht="13.5" thickBot="1">
      <c r="B59" s="167"/>
      <c r="C59" s="56"/>
      <c r="D59" s="56"/>
      <c r="E59" s="56"/>
      <c r="F59" s="56"/>
      <c r="G59" s="56"/>
      <c r="H59" s="40">
        <v>10</v>
      </c>
      <c r="I59" s="42">
        <v>1380</v>
      </c>
      <c r="J59" s="39">
        <v>0</v>
      </c>
      <c r="K59" s="40">
        <f t="shared" si="14"/>
        <v>32000000.000000004</v>
      </c>
      <c r="L59" s="39">
        <f t="shared" si="15"/>
        <v>3999999.9999999963</v>
      </c>
      <c r="M59" s="173"/>
      <c r="N59" s="173"/>
      <c r="O59" s="173"/>
      <c r="P59" s="173"/>
      <c r="Q59" s="173"/>
      <c r="R59" s="173"/>
      <c r="S59" s="56"/>
      <c r="T59" s="56"/>
      <c r="U59" s="56"/>
      <c r="V59" s="56"/>
      <c r="W59" s="56"/>
      <c r="X59" s="56"/>
      <c r="Y59" s="56"/>
      <c r="Z59" s="56"/>
      <c r="AA59" s="56"/>
      <c r="AB59" s="2"/>
      <c r="AC59" s="23"/>
      <c r="AE59" s="161"/>
      <c r="AF59" s="162"/>
      <c r="AG59" s="162"/>
      <c r="AH59" s="162"/>
      <c r="AI59" s="162"/>
      <c r="AJ59" s="162"/>
      <c r="AK59" s="162"/>
      <c r="AL59" s="162"/>
      <c r="AM59" s="162"/>
      <c r="AN59" s="162"/>
      <c r="AO59" s="163"/>
      <c r="AQ59" s="167"/>
      <c r="AR59" s="2"/>
      <c r="AS59" s="2"/>
      <c r="AT59" s="2"/>
      <c r="AU59" s="2"/>
      <c r="AV59" s="2"/>
      <c r="AW59" s="2"/>
      <c r="AX59" s="2"/>
      <c r="AY59" s="2"/>
      <c r="AZ59" s="2"/>
      <c r="BA59" s="486" t="str">
        <f>BA52</f>
        <v>دایره مونتاژ</v>
      </c>
      <c r="BB59" s="487"/>
      <c r="BC59" s="487"/>
      <c r="BD59" s="487"/>
      <c r="BE59" s="487"/>
      <c r="BF59" s="488"/>
      <c r="BG59" s="23"/>
    </row>
    <row r="60" spans="2:59" ht="12.75">
      <c r="B60" s="167"/>
      <c r="C60" s="56"/>
      <c r="D60" s="56"/>
      <c r="E60" s="56"/>
      <c r="F60" s="56"/>
      <c r="G60" s="56"/>
      <c r="H60" s="40"/>
      <c r="I60" s="40"/>
      <c r="J60" s="40">
        <f>SUM(J50:J58)</f>
        <v>32000000.000000004</v>
      </c>
      <c r="K60" s="40"/>
      <c r="L60" s="39"/>
      <c r="M60" s="173"/>
      <c r="N60" s="173"/>
      <c r="O60" s="173"/>
      <c r="P60" s="173"/>
      <c r="Q60" s="173"/>
      <c r="R60" s="173"/>
      <c r="S60" s="56"/>
      <c r="T60" s="56"/>
      <c r="U60" s="56"/>
      <c r="V60" s="56"/>
      <c r="W60" s="56"/>
      <c r="X60" s="56"/>
      <c r="Y60" s="56"/>
      <c r="Z60" s="56"/>
      <c r="AA60" s="56"/>
      <c r="AB60" s="2"/>
      <c r="AC60" s="23"/>
      <c r="AQ60" s="167"/>
      <c r="AR60" s="2"/>
      <c r="AS60" s="2"/>
      <c r="AT60" s="2"/>
      <c r="AU60" s="2"/>
      <c r="AV60" s="2"/>
      <c r="AW60" s="2"/>
      <c r="AX60" s="2"/>
      <c r="AY60" s="2"/>
      <c r="AZ60" s="2"/>
      <c r="BA60" s="481" t="str">
        <f>BA53</f>
        <v>برای ماه منتهی به 31 مرداد 1382</v>
      </c>
      <c r="BB60" s="482"/>
      <c r="BC60" s="482"/>
      <c r="BD60" s="482"/>
      <c r="BE60" s="482"/>
      <c r="BF60" s="476"/>
      <c r="BG60" s="23"/>
    </row>
    <row r="61" spans="2:59" ht="12.75">
      <c r="B61" s="167"/>
      <c r="C61" s="56"/>
      <c r="D61" s="56"/>
      <c r="E61" s="56"/>
      <c r="F61" s="56"/>
      <c r="G61" s="56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56"/>
      <c r="T61" s="56"/>
      <c r="U61" s="56"/>
      <c r="V61" s="56"/>
      <c r="W61" s="56"/>
      <c r="X61" s="56"/>
      <c r="Y61" s="56"/>
      <c r="Z61" s="56"/>
      <c r="AA61" s="56"/>
      <c r="AB61" s="2"/>
      <c r="AC61" s="23"/>
      <c r="AQ61" s="167"/>
      <c r="AR61" s="2"/>
      <c r="AS61" s="2"/>
      <c r="AT61" s="2"/>
      <c r="AU61" s="2"/>
      <c r="AV61" s="2"/>
      <c r="AW61" s="2"/>
      <c r="AX61" s="2"/>
      <c r="AY61" s="2"/>
      <c r="AZ61" s="2"/>
      <c r="BA61" s="403"/>
      <c r="BB61" s="3"/>
      <c r="BC61" s="3"/>
      <c r="BD61" s="3"/>
      <c r="BE61" s="3" t="str">
        <f>BD54</f>
        <v>مواد مستقیم</v>
      </c>
      <c r="BF61" s="404" t="str">
        <f>BE54</f>
        <v>هزینه های تبدیل</v>
      </c>
      <c r="BG61" s="23"/>
    </row>
    <row r="62" spans="2:59" ht="12.75">
      <c r="B62" s="167"/>
      <c r="C62" s="56"/>
      <c r="D62" s="56"/>
      <c r="E62" s="56"/>
      <c r="F62" s="56"/>
      <c r="G62" s="56"/>
      <c r="H62" s="510" t="s">
        <v>71</v>
      </c>
      <c r="I62" s="510"/>
      <c r="J62" s="510"/>
      <c r="K62" s="510"/>
      <c r="L62" s="510"/>
      <c r="M62" s="173"/>
      <c r="N62" s="173"/>
      <c r="O62" s="173"/>
      <c r="P62" s="173"/>
      <c r="Q62" s="173"/>
      <c r="R62" s="173"/>
      <c r="S62" s="56"/>
      <c r="T62" s="56"/>
      <c r="U62" s="56"/>
      <c r="V62" s="56"/>
      <c r="W62" s="56"/>
      <c r="X62" s="56"/>
      <c r="Y62" s="56"/>
      <c r="Z62" s="56"/>
      <c r="AA62" s="56"/>
      <c r="AB62" s="2"/>
      <c r="AC62" s="23"/>
      <c r="AQ62" s="167"/>
      <c r="AR62" s="2"/>
      <c r="AS62" s="2"/>
      <c r="AT62" s="2"/>
      <c r="AU62" s="2"/>
      <c r="AV62" s="2"/>
      <c r="AW62" s="2"/>
      <c r="AX62" s="2"/>
      <c r="AY62" s="2"/>
      <c r="AZ62" s="2"/>
      <c r="BA62" s="403" t="str">
        <f>AR42</f>
        <v>کالای د ر جریان ساخت 30 تیر ماه</v>
      </c>
      <c r="BB62" s="3"/>
      <c r="BC62" s="3"/>
      <c r="BD62" s="3"/>
      <c r="BE62" s="396">
        <f>AX42</f>
        <v>0</v>
      </c>
      <c r="BF62" s="415">
        <f>AY42</f>
        <v>0</v>
      </c>
      <c r="BG62" s="23"/>
    </row>
    <row r="63" spans="2:59" ht="12.75">
      <c r="B63" s="167"/>
      <c r="C63" s="56"/>
      <c r="D63" s="56"/>
      <c r="E63" s="56"/>
      <c r="F63" s="56"/>
      <c r="G63" s="56"/>
      <c r="H63" s="36" t="s">
        <v>65</v>
      </c>
      <c r="I63" s="36" t="s">
        <v>66</v>
      </c>
      <c r="J63" s="38" t="s">
        <v>67</v>
      </c>
      <c r="K63" s="38" t="s">
        <v>68</v>
      </c>
      <c r="L63" s="38" t="s">
        <v>69</v>
      </c>
      <c r="M63" s="173"/>
      <c r="N63" s="173"/>
      <c r="O63" s="173"/>
      <c r="P63" s="173"/>
      <c r="Q63" s="173"/>
      <c r="R63" s="173"/>
      <c r="S63" s="56"/>
      <c r="T63" s="56"/>
      <c r="U63" s="56"/>
      <c r="V63" s="56"/>
      <c r="W63" s="56"/>
      <c r="X63" s="56"/>
      <c r="Y63" s="56"/>
      <c r="Z63" s="56"/>
      <c r="AA63" s="56"/>
      <c r="AB63" s="2"/>
      <c r="AC63" s="23"/>
      <c r="AQ63" s="167"/>
      <c r="AR63" s="2"/>
      <c r="AS63" s="2"/>
      <c r="AT63" s="2"/>
      <c r="AU63" s="2"/>
      <c r="AV63" s="2"/>
      <c r="AW63" s="2"/>
      <c r="AX63" s="2"/>
      <c r="AY63" s="2"/>
      <c r="AZ63" s="2"/>
      <c r="BA63" s="403" t="str">
        <f>BA56</f>
        <v>هزینه های افزوده شده در طی مرداد ماه</v>
      </c>
      <c r="BB63" s="3"/>
      <c r="BC63" s="3"/>
      <c r="BD63" s="3"/>
      <c r="BE63" s="396">
        <f>BD56</f>
        <v>6800</v>
      </c>
      <c r="BF63" s="415">
        <f>BE56</f>
        <v>36400</v>
      </c>
      <c r="BG63" s="23"/>
    </row>
    <row r="64" spans="2:59" ht="12.75">
      <c r="B64" s="167"/>
      <c r="C64" s="56"/>
      <c r="D64" s="56"/>
      <c r="E64" s="56"/>
      <c r="F64" s="56"/>
      <c r="G64" s="56"/>
      <c r="H64" s="39">
        <v>1</v>
      </c>
      <c r="I64" s="41">
        <v>1371</v>
      </c>
      <c r="J64" s="39">
        <f>SYD($E$36,$E$37,$E$38,H50)</f>
        <v>6400000</v>
      </c>
      <c r="K64" s="39">
        <f>J64</f>
        <v>6400000</v>
      </c>
      <c r="L64" s="39">
        <f>$E$36-K64</f>
        <v>29600000</v>
      </c>
      <c r="M64" s="173"/>
      <c r="N64" s="173"/>
      <c r="O64" s="173"/>
      <c r="P64" s="173"/>
      <c r="Q64" s="173"/>
      <c r="R64" s="173"/>
      <c r="S64" s="56"/>
      <c r="T64" s="56"/>
      <c r="U64" s="56"/>
      <c r="V64" s="56"/>
      <c r="W64" s="56"/>
      <c r="X64" s="56"/>
      <c r="Y64" s="56"/>
      <c r="Z64" s="56"/>
      <c r="AA64" s="56"/>
      <c r="AB64" s="2"/>
      <c r="AC64" s="23"/>
      <c r="AQ64" s="167"/>
      <c r="AR64" s="2"/>
      <c r="AS64" s="2"/>
      <c r="AT64" s="2"/>
      <c r="AU64" s="2"/>
      <c r="AV64" s="2"/>
      <c r="AW64" s="2"/>
      <c r="AX64" s="2"/>
      <c r="AY64" s="2"/>
      <c r="AZ64" s="2"/>
      <c r="BA64" s="413" t="s">
        <v>600</v>
      </c>
      <c r="BB64" s="3"/>
      <c r="BC64" s="3"/>
      <c r="BD64" s="3"/>
      <c r="BE64" s="409">
        <f>BE50</f>
        <v>17000</v>
      </c>
      <c r="BF64" s="416">
        <f>BF50</f>
        <v>18200</v>
      </c>
      <c r="BG64" s="23"/>
    </row>
    <row r="65" spans="2:59" ht="12.75">
      <c r="B65" s="167"/>
      <c r="C65" s="56"/>
      <c r="D65" s="56"/>
      <c r="E65" s="56"/>
      <c r="F65" s="56"/>
      <c r="G65" s="56"/>
      <c r="H65" s="40">
        <v>2</v>
      </c>
      <c r="I65" s="42">
        <v>1372</v>
      </c>
      <c r="J65" s="39">
        <f aca="true" t="shared" si="16" ref="J65:J72">SYD($E$36,$E$37,$E$38,H51)</f>
        <v>5688888.888888889</v>
      </c>
      <c r="K65" s="40">
        <f aca="true" t="shared" si="17" ref="K65:K73">K64+J65</f>
        <v>12088888.888888888</v>
      </c>
      <c r="L65" s="39">
        <f aca="true" t="shared" si="18" ref="L65:L73">$E$36-K65</f>
        <v>23911111.111111112</v>
      </c>
      <c r="M65" s="173"/>
      <c r="N65" s="173"/>
      <c r="O65" s="173"/>
      <c r="P65" s="173"/>
      <c r="Q65" s="173"/>
      <c r="R65" s="173"/>
      <c r="S65" s="56"/>
      <c r="T65" s="56"/>
      <c r="U65" s="56"/>
      <c r="V65" s="56"/>
      <c r="W65" s="56"/>
      <c r="X65" s="56"/>
      <c r="Y65" s="56"/>
      <c r="Z65" s="56"/>
      <c r="AA65" s="56"/>
      <c r="AB65" s="2"/>
      <c r="AC65" s="23"/>
      <c r="AQ65" s="167"/>
      <c r="AR65" s="2"/>
      <c r="AS65" s="2"/>
      <c r="AT65" s="2"/>
      <c r="AU65" s="2"/>
      <c r="AV65" s="2"/>
      <c r="AW65" s="2"/>
      <c r="AX65" s="2"/>
      <c r="AY65" s="2"/>
      <c r="AZ65" s="2"/>
      <c r="BA65" s="405"/>
      <c r="BB65" s="406"/>
      <c r="BC65" s="406"/>
      <c r="BD65" s="406"/>
      <c r="BE65" s="409">
        <f>BE63/BE64</f>
        <v>0.4</v>
      </c>
      <c r="BF65" s="416">
        <f>BF63/BF64</f>
        <v>2</v>
      </c>
      <c r="BG65" s="23"/>
    </row>
    <row r="66" spans="2:59" ht="12.75">
      <c r="B66" s="167"/>
      <c r="C66" s="56"/>
      <c r="D66" s="56"/>
      <c r="E66" s="56"/>
      <c r="F66" s="56"/>
      <c r="G66" s="56"/>
      <c r="H66" s="39">
        <v>3</v>
      </c>
      <c r="I66" s="41">
        <v>1373</v>
      </c>
      <c r="J66" s="39">
        <f t="shared" si="16"/>
        <v>4977777.777777778</v>
      </c>
      <c r="K66" s="40">
        <f t="shared" si="17"/>
        <v>17066666.666666664</v>
      </c>
      <c r="L66" s="39">
        <f t="shared" si="18"/>
        <v>18933333.333333336</v>
      </c>
      <c r="M66" s="173"/>
      <c r="N66" s="173"/>
      <c r="O66" s="173"/>
      <c r="P66" s="173"/>
      <c r="Q66" s="173"/>
      <c r="R66" s="173"/>
      <c r="S66" s="56"/>
      <c r="T66" s="56"/>
      <c r="U66" s="56"/>
      <c r="V66" s="56"/>
      <c r="W66" s="56"/>
      <c r="X66" s="56"/>
      <c r="Y66" s="56"/>
      <c r="Z66" s="56"/>
      <c r="AA66" s="56"/>
      <c r="AB66" s="2"/>
      <c r="AC66" s="23"/>
      <c r="AQ66" s="167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3"/>
    </row>
    <row r="67" spans="2:59" ht="12.75">
      <c r="B67" s="167"/>
      <c r="C67" s="56"/>
      <c r="D67" s="56"/>
      <c r="E67" s="56"/>
      <c r="F67" s="56"/>
      <c r="G67" s="56"/>
      <c r="H67" s="40">
        <v>4</v>
      </c>
      <c r="I67" s="42">
        <v>1374</v>
      </c>
      <c r="J67" s="39">
        <f t="shared" si="16"/>
        <v>4266666.666666667</v>
      </c>
      <c r="K67" s="40">
        <f t="shared" si="17"/>
        <v>21333333.333333332</v>
      </c>
      <c r="L67" s="39">
        <f t="shared" si="18"/>
        <v>14666666.666666668</v>
      </c>
      <c r="M67" s="173"/>
      <c r="N67" s="173"/>
      <c r="O67" s="173"/>
      <c r="P67" s="173"/>
      <c r="Q67" s="173"/>
      <c r="R67" s="173"/>
      <c r="S67" s="56"/>
      <c r="T67" s="56"/>
      <c r="U67" s="56"/>
      <c r="V67" s="56"/>
      <c r="W67" s="56"/>
      <c r="X67" s="56"/>
      <c r="Y67" s="56"/>
      <c r="Z67" s="56"/>
      <c r="AA67" s="56"/>
      <c r="AB67" s="2"/>
      <c r="AC67" s="23"/>
      <c r="AQ67" s="167"/>
      <c r="AR67" s="2"/>
      <c r="AS67" s="2"/>
      <c r="AT67" s="2"/>
      <c r="AU67" s="2"/>
      <c r="AV67" s="2"/>
      <c r="AW67" s="2"/>
      <c r="AX67" s="2"/>
      <c r="AY67" s="2"/>
      <c r="AZ67" s="2"/>
      <c r="BA67" s="486" t="str">
        <f>BA52</f>
        <v>دایره مونتاژ</v>
      </c>
      <c r="BB67" s="487"/>
      <c r="BC67" s="487"/>
      <c r="BD67" s="487"/>
      <c r="BE67" s="487"/>
      <c r="BF67" s="488"/>
      <c r="BG67" s="23"/>
    </row>
    <row r="68" spans="2:59" ht="12.75">
      <c r="B68" s="167"/>
      <c r="C68" s="56"/>
      <c r="D68" s="56"/>
      <c r="E68" s="56"/>
      <c r="F68" s="56"/>
      <c r="G68" s="56"/>
      <c r="H68" s="39">
        <v>5</v>
      </c>
      <c r="I68" s="41">
        <v>1375</v>
      </c>
      <c r="J68" s="39">
        <f t="shared" si="16"/>
        <v>3555555.5555555555</v>
      </c>
      <c r="K68" s="40">
        <f t="shared" si="17"/>
        <v>24888888.888888888</v>
      </c>
      <c r="L68" s="39">
        <f t="shared" si="18"/>
        <v>11111111.111111112</v>
      </c>
      <c r="M68" s="173"/>
      <c r="N68" s="173"/>
      <c r="O68" s="173"/>
      <c r="P68" s="173"/>
      <c r="Q68" s="173"/>
      <c r="R68" s="173"/>
      <c r="S68" s="56"/>
      <c r="T68" s="56"/>
      <c r="U68" s="56"/>
      <c r="V68" s="56"/>
      <c r="W68" s="56"/>
      <c r="X68" s="56"/>
      <c r="Y68" s="56"/>
      <c r="Z68" s="56"/>
      <c r="AA68" s="56"/>
      <c r="AB68" s="2"/>
      <c r="AC68" s="23"/>
      <c r="AQ68" s="167"/>
      <c r="AR68" s="2"/>
      <c r="AS68" s="2"/>
      <c r="AT68" s="2"/>
      <c r="AU68" s="2"/>
      <c r="AV68" s="2"/>
      <c r="AW68" s="2"/>
      <c r="AX68" s="2"/>
      <c r="AY68" s="2"/>
      <c r="AZ68" s="2"/>
      <c r="BA68" s="481" t="str">
        <f>BA53</f>
        <v>برای ماه منتهی به 31 مرداد 1382</v>
      </c>
      <c r="BB68" s="482"/>
      <c r="BC68" s="482"/>
      <c r="BD68" s="482"/>
      <c r="BE68" s="482"/>
      <c r="BF68" s="476"/>
      <c r="BG68" s="23"/>
    </row>
    <row r="69" spans="2:59" ht="12.75">
      <c r="B69" s="167"/>
      <c r="C69" s="56"/>
      <c r="D69" s="56"/>
      <c r="E69" s="56"/>
      <c r="F69" s="56"/>
      <c r="G69" s="56"/>
      <c r="H69" s="40">
        <v>6</v>
      </c>
      <c r="I69" s="42">
        <v>1376</v>
      </c>
      <c r="J69" s="39">
        <f t="shared" si="16"/>
        <v>2844444.4444444445</v>
      </c>
      <c r="K69" s="40">
        <f t="shared" si="17"/>
        <v>27733333.333333332</v>
      </c>
      <c r="L69" s="39">
        <f t="shared" si="18"/>
        <v>8266666.666666668</v>
      </c>
      <c r="M69" s="173"/>
      <c r="N69" s="173"/>
      <c r="O69" s="173"/>
      <c r="P69" s="173"/>
      <c r="Q69" s="173"/>
      <c r="R69" s="173"/>
      <c r="S69" s="56"/>
      <c r="T69" s="56"/>
      <c r="U69" s="56"/>
      <c r="V69" s="56"/>
      <c r="W69" s="56"/>
      <c r="X69" s="56"/>
      <c r="Y69" s="56"/>
      <c r="Z69" s="56"/>
      <c r="AA69" s="56"/>
      <c r="AB69" s="2"/>
      <c r="AC69" s="23"/>
      <c r="AQ69" s="167"/>
      <c r="AR69" s="2"/>
      <c r="AS69" s="2"/>
      <c r="AT69" s="2"/>
      <c r="AU69" s="2"/>
      <c r="AV69" s="2"/>
      <c r="AW69" s="2"/>
      <c r="AX69" s="2"/>
      <c r="AY69" s="2"/>
      <c r="AZ69" s="2"/>
      <c r="BA69" s="410"/>
      <c r="BB69" s="401"/>
      <c r="BC69" s="401"/>
      <c r="BD69" s="411" t="str">
        <f>BD54</f>
        <v>مواد مستقیم</v>
      </c>
      <c r="BE69" s="411" t="str">
        <f>BE54</f>
        <v>هزینه های تبدیل</v>
      </c>
      <c r="BF69" s="417" t="str">
        <f>BF54</f>
        <v>کل</v>
      </c>
      <c r="BG69" s="23"/>
    </row>
    <row r="70" spans="2:59" ht="12.75">
      <c r="B70" s="167"/>
      <c r="C70" s="56"/>
      <c r="D70" s="56"/>
      <c r="E70" s="56"/>
      <c r="F70" s="56"/>
      <c r="G70" s="56"/>
      <c r="H70" s="39">
        <v>7</v>
      </c>
      <c r="I70" s="41">
        <v>1377</v>
      </c>
      <c r="J70" s="39">
        <f t="shared" si="16"/>
        <v>2133333.3333333335</v>
      </c>
      <c r="K70" s="40">
        <f t="shared" si="17"/>
        <v>29866666.666666664</v>
      </c>
      <c r="L70" s="39">
        <f t="shared" si="18"/>
        <v>6133333.333333336</v>
      </c>
      <c r="M70" s="173"/>
      <c r="N70" s="173"/>
      <c r="O70" s="173"/>
      <c r="P70" s="173"/>
      <c r="Q70" s="173"/>
      <c r="R70" s="173"/>
      <c r="S70" s="56"/>
      <c r="T70" s="56"/>
      <c r="U70" s="56"/>
      <c r="V70" s="56"/>
      <c r="W70" s="56"/>
      <c r="X70" s="56"/>
      <c r="Y70" s="56"/>
      <c r="Z70" s="56"/>
      <c r="AA70" s="56"/>
      <c r="AB70" s="2"/>
      <c r="AC70" s="23"/>
      <c r="AQ70" s="167"/>
      <c r="AR70" s="2"/>
      <c r="AS70" s="2"/>
      <c r="AT70" s="2"/>
      <c r="AU70" s="2"/>
      <c r="AV70" s="2"/>
      <c r="AW70" s="2"/>
      <c r="AX70" s="2"/>
      <c r="AY70" s="2"/>
      <c r="AZ70" s="2"/>
      <c r="BA70" s="413" t="s">
        <v>601</v>
      </c>
      <c r="BB70" s="3"/>
      <c r="BC70" s="3"/>
      <c r="BD70" s="3"/>
      <c r="BE70" s="3"/>
      <c r="BF70" s="404">
        <f>BD46*(BF65+BE65)</f>
        <v>38400</v>
      </c>
      <c r="BG70" s="23"/>
    </row>
    <row r="71" spans="2:59" ht="12.75">
      <c r="B71" s="167"/>
      <c r="C71" s="56"/>
      <c r="D71" s="56"/>
      <c r="E71" s="56"/>
      <c r="F71" s="56"/>
      <c r="G71" s="56"/>
      <c r="H71" s="40">
        <v>8</v>
      </c>
      <c r="I71" s="42">
        <v>1378</v>
      </c>
      <c r="J71" s="39">
        <f t="shared" si="16"/>
        <v>1422222.2222222222</v>
      </c>
      <c r="K71" s="40">
        <f t="shared" si="17"/>
        <v>31288888.888888888</v>
      </c>
      <c r="L71" s="39">
        <f t="shared" si="18"/>
        <v>4711111.111111112</v>
      </c>
      <c r="M71" s="173"/>
      <c r="N71" s="173"/>
      <c r="O71" s="173"/>
      <c r="P71" s="173"/>
      <c r="Q71" s="173"/>
      <c r="R71" s="173"/>
      <c r="S71" s="56"/>
      <c r="T71" s="56"/>
      <c r="U71" s="56"/>
      <c r="V71" s="56"/>
      <c r="W71" s="56"/>
      <c r="X71" s="56"/>
      <c r="Y71" s="56"/>
      <c r="Z71" s="56"/>
      <c r="AA71" s="56"/>
      <c r="AB71" s="2"/>
      <c r="AC71" s="23"/>
      <c r="AQ71" s="167"/>
      <c r="AR71" s="2"/>
      <c r="AS71" s="2"/>
      <c r="AT71" s="2"/>
      <c r="AU71" s="2"/>
      <c r="AV71" s="2"/>
      <c r="AW71" s="2"/>
      <c r="AX71" s="2"/>
      <c r="AY71" s="2"/>
      <c r="AZ71" s="2"/>
      <c r="BA71" s="403" t="str">
        <f>BA47</f>
        <v>کالای در جریان ساخت 31 مرداد ( 25% تکمیل از لحاظ مواد و 55% تکمیل از لحاظ هزینه های تبدیل )</v>
      </c>
      <c r="BB71" s="3"/>
      <c r="BC71" s="3"/>
      <c r="BD71" s="3" t="str">
        <f>BD54</f>
        <v>مواد مستقیم</v>
      </c>
      <c r="BE71" s="3">
        <f>BE47*BE65</f>
        <v>400</v>
      </c>
      <c r="BF71" s="404"/>
      <c r="BG71" s="23"/>
    </row>
    <row r="72" spans="2:59" ht="12.75">
      <c r="B72" s="167"/>
      <c r="C72" s="56"/>
      <c r="D72" s="56"/>
      <c r="E72" s="56"/>
      <c r="F72" s="56"/>
      <c r="G72" s="56"/>
      <c r="H72" s="39">
        <v>9</v>
      </c>
      <c r="I72" s="41">
        <v>1379</v>
      </c>
      <c r="J72" s="39">
        <f t="shared" si="16"/>
        <v>711111.1111111111</v>
      </c>
      <c r="K72" s="40">
        <f t="shared" si="17"/>
        <v>32000000</v>
      </c>
      <c r="L72" s="39">
        <f t="shared" si="18"/>
        <v>4000000</v>
      </c>
      <c r="M72" s="173"/>
      <c r="N72" s="173"/>
      <c r="O72" s="173"/>
      <c r="P72" s="173"/>
      <c r="Q72" s="173"/>
      <c r="R72" s="173"/>
      <c r="S72" s="56"/>
      <c r="T72" s="56"/>
      <c r="U72" s="56"/>
      <c r="V72" s="56"/>
      <c r="W72" s="56"/>
      <c r="X72" s="56"/>
      <c r="Y72" s="56"/>
      <c r="Z72" s="56"/>
      <c r="AA72" s="56"/>
      <c r="AB72" s="2"/>
      <c r="AC72" s="23"/>
      <c r="AQ72" s="167"/>
      <c r="AR72" s="2"/>
      <c r="AS72" s="2"/>
      <c r="AT72" s="2"/>
      <c r="AU72" s="2"/>
      <c r="AV72" s="2"/>
      <c r="AW72" s="2"/>
      <c r="AX72" s="2"/>
      <c r="AY72" s="2"/>
      <c r="AZ72" s="2"/>
      <c r="BA72" s="403"/>
      <c r="BB72" s="3"/>
      <c r="BC72" s="3"/>
      <c r="BD72" s="3" t="str">
        <f>BE54</f>
        <v>هزینه های تبدیل</v>
      </c>
      <c r="BE72" s="406">
        <f>BF47*BF65</f>
        <v>4400</v>
      </c>
      <c r="BF72" s="404"/>
      <c r="BG72" s="23"/>
    </row>
    <row r="73" spans="2:59" ht="12.75">
      <c r="B73" s="167"/>
      <c r="C73" s="56"/>
      <c r="D73" s="56"/>
      <c r="E73" s="56"/>
      <c r="F73" s="56"/>
      <c r="G73" s="56"/>
      <c r="H73" s="40">
        <v>10</v>
      </c>
      <c r="I73" s="42">
        <v>1380</v>
      </c>
      <c r="J73" s="39">
        <v>0</v>
      </c>
      <c r="K73" s="40">
        <f t="shared" si="17"/>
        <v>32000000</v>
      </c>
      <c r="L73" s="39">
        <f t="shared" si="18"/>
        <v>4000000</v>
      </c>
      <c r="M73" s="173"/>
      <c r="N73" s="173"/>
      <c r="O73" s="173"/>
      <c r="P73" s="173"/>
      <c r="Q73" s="173"/>
      <c r="R73" s="173"/>
      <c r="S73" s="56"/>
      <c r="T73" s="56"/>
      <c r="U73" s="56"/>
      <c r="V73" s="56"/>
      <c r="W73" s="56"/>
      <c r="X73" s="56"/>
      <c r="Y73" s="56"/>
      <c r="Z73" s="56"/>
      <c r="AA73" s="56"/>
      <c r="AB73" s="2"/>
      <c r="AC73" s="23"/>
      <c r="AQ73" s="167"/>
      <c r="AR73" s="2"/>
      <c r="AS73" s="2"/>
      <c r="AT73" s="2"/>
      <c r="AU73" s="2"/>
      <c r="AV73" s="2"/>
      <c r="AW73" s="2"/>
      <c r="AX73" s="2"/>
      <c r="AY73" s="2"/>
      <c r="AZ73" s="2"/>
      <c r="BA73" s="403"/>
      <c r="BB73" s="3"/>
      <c r="BC73" s="3"/>
      <c r="BD73" s="3"/>
      <c r="BE73" s="3"/>
      <c r="BF73" s="404">
        <f>SUM(BE71:BE72)</f>
        <v>4800</v>
      </c>
      <c r="BG73" s="23"/>
    </row>
    <row r="74" spans="2:59" ht="13.5" thickBot="1">
      <c r="B74" s="167"/>
      <c r="C74" s="56"/>
      <c r="D74" s="56"/>
      <c r="E74" s="56"/>
      <c r="F74" s="56"/>
      <c r="G74" s="56"/>
      <c r="H74" s="40"/>
      <c r="I74" s="40"/>
      <c r="J74" s="40">
        <f>SUM(J64:J73)</f>
        <v>32000000</v>
      </c>
      <c r="K74" s="40"/>
      <c r="L74" s="39"/>
      <c r="M74" s="173"/>
      <c r="N74" s="173"/>
      <c r="O74" s="173"/>
      <c r="P74" s="173"/>
      <c r="Q74" s="173"/>
      <c r="R74" s="173"/>
      <c r="S74" s="56"/>
      <c r="T74" s="56"/>
      <c r="U74" s="56"/>
      <c r="V74" s="56"/>
      <c r="W74" s="56"/>
      <c r="X74" s="56"/>
      <c r="Y74" s="56"/>
      <c r="Z74" s="56"/>
      <c r="AA74" s="56"/>
      <c r="AB74" s="2"/>
      <c r="AC74" s="23"/>
      <c r="AQ74" s="167"/>
      <c r="AR74" s="2"/>
      <c r="AS74" s="2"/>
      <c r="AT74" s="2"/>
      <c r="AU74" s="2"/>
      <c r="AV74" s="2"/>
      <c r="AW74" s="2"/>
      <c r="AX74" s="2"/>
      <c r="AY74" s="2"/>
      <c r="AZ74" s="2"/>
      <c r="BA74" s="403"/>
      <c r="BB74" s="3"/>
      <c r="BC74" s="3"/>
      <c r="BD74" s="3"/>
      <c r="BE74" s="3"/>
      <c r="BF74" s="418">
        <f>SUM(BF70:BF73)</f>
        <v>43200</v>
      </c>
      <c r="BG74" s="23"/>
    </row>
    <row r="75" spans="2:59" ht="13.5" thickTop="1">
      <c r="B75" s="167"/>
      <c r="C75" s="56"/>
      <c r="D75" s="56"/>
      <c r="E75" s="56"/>
      <c r="F75" s="56"/>
      <c r="G75" s="56"/>
      <c r="H75" s="173"/>
      <c r="I75" s="173"/>
      <c r="J75" s="173"/>
      <c r="K75" s="173"/>
      <c r="L75" s="173"/>
      <c r="M75" s="173"/>
      <c r="N75" s="2"/>
      <c r="O75" s="2"/>
      <c r="P75" s="2"/>
      <c r="Q75" s="2"/>
      <c r="R75" s="2"/>
      <c r="S75" s="56"/>
      <c r="T75" s="56"/>
      <c r="U75" s="56"/>
      <c r="V75" s="56"/>
      <c r="W75" s="56"/>
      <c r="X75" s="56"/>
      <c r="Y75" s="56"/>
      <c r="Z75" s="56"/>
      <c r="AA75" s="56"/>
      <c r="AB75" s="2"/>
      <c r="AC75" s="23"/>
      <c r="AQ75" s="167"/>
      <c r="AR75" s="2"/>
      <c r="AS75" s="2"/>
      <c r="AT75" s="2"/>
      <c r="AU75" s="2"/>
      <c r="AV75" s="2"/>
      <c r="AW75" s="2"/>
      <c r="AX75" s="2"/>
      <c r="AY75" s="2"/>
      <c r="AZ75" s="2"/>
      <c r="BA75" s="405"/>
      <c r="BB75" s="406"/>
      <c r="BC75" s="406"/>
      <c r="BD75" s="406"/>
      <c r="BE75" s="406"/>
      <c r="BF75" s="419"/>
      <c r="BG75" s="23"/>
    </row>
    <row r="76" spans="2:59" ht="13.5" thickBot="1">
      <c r="B76" s="167"/>
      <c r="C76" s="56"/>
      <c r="D76" s="56"/>
      <c r="E76" s="56"/>
      <c r="F76" s="56"/>
      <c r="G76" s="56"/>
      <c r="H76" s="510" t="s">
        <v>73</v>
      </c>
      <c r="I76" s="510"/>
      <c r="J76" s="510"/>
      <c r="K76" s="510"/>
      <c r="L76" s="5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3"/>
      <c r="AQ76" s="161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3"/>
    </row>
    <row r="77" spans="2:29" ht="12.75">
      <c r="B77" s="167"/>
      <c r="C77" s="168"/>
      <c r="D77" s="2"/>
      <c r="E77" s="2"/>
      <c r="F77" s="2"/>
      <c r="G77" s="2"/>
      <c r="H77" s="36" t="s">
        <v>65</v>
      </c>
      <c r="I77" s="36" t="s">
        <v>66</v>
      </c>
      <c r="J77" s="38" t="s">
        <v>67</v>
      </c>
      <c r="K77" s="38" t="s">
        <v>68</v>
      </c>
      <c r="L77" s="38" t="s">
        <v>69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3"/>
    </row>
    <row r="78" spans="2:29" ht="12.75">
      <c r="B78" s="167"/>
      <c r="C78" s="168"/>
      <c r="D78" s="2"/>
      <c r="E78" s="2"/>
      <c r="F78" s="2"/>
      <c r="G78" s="2"/>
      <c r="H78" s="39">
        <v>1</v>
      </c>
      <c r="I78" s="41">
        <v>1371</v>
      </c>
      <c r="J78" s="39">
        <f aca="true" t="shared" si="19" ref="J78:J86">(($E$36-$E$37)/$E$51)*E42</f>
        <v>4531294.25092042</v>
      </c>
      <c r="K78" s="39">
        <f>J78</f>
        <v>4531294.25092042</v>
      </c>
      <c r="L78" s="39">
        <f>$E$36-K78</f>
        <v>31468705.74907958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3"/>
    </row>
    <row r="79" spans="2:29" ht="12.75">
      <c r="B79" s="167"/>
      <c r="C79" s="168"/>
      <c r="D79" s="2"/>
      <c r="E79" s="2"/>
      <c r="F79" s="2"/>
      <c r="G79" s="2"/>
      <c r="H79" s="40">
        <v>2</v>
      </c>
      <c r="I79" s="42">
        <v>1372</v>
      </c>
      <c r="J79" s="39">
        <f t="shared" si="19"/>
        <v>7793826.111583121</v>
      </c>
      <c r="K79" s="40">
        <f aca="true" t="shared" si="20" ref="K79:K86">K78+J79</f>
        <v>12325120.36250354</v>
      </c>
      <c r="L79" s="39">
        <f aca="true" t="shared" si="21" ref="L79:L86">$E$36-K79</f>
        <v>23674879.63749646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3"/>
    </row>
    <row r="80" spans="2:29" ht="12.75">
      <c r="B80" s="167"/>
      <c r="C80" s="168"/>
      <c r="D80" s="2"/>
      <c r="E80" s="2"/>
      <c r="F80" s="2"/>
      <c r="G80" s="2"/>
      <c r="H80" s="39">
        <v>3</v>
      </c>
      <c r="I80" s="41">
        <v>1373</v>
      </c>
      <c r="J80" s="39">
        <f t="shared" si="19"/>
        <v>6706315.491362221</v>
      </c>
      <c r="K80" s="40">
        <f t="shared" si="20"/>
        <v>19031435.85386576</v>
      </c>
      <c r="L80" s="39">
        <f t="shared" si="21"/>
        <v>16968564.14613424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3"/>
    </row>
    <row r="81" spans="2:29" ht="12.75">
      <c r="B81" s="167"/>
      <c r="C81" s="168"/>
      <c r="D81" s="2"/>
      <c r="E81" s="2"/>
      <c r="F81" s="2"/>
      <c r="G81" s="2"/>
      <c r="H81" s="40">
        <v>4</v>
      </c>
      <c r="I81" s="42">
        <v>1374</v>
      </c>
      <c r="J81" s="39">
        <f t="shared" si="19"/>
        <v>4531294.25092042</v>
      </c>
      <c r="K81" s="40">
        <f t="shared" si="20"/>
        <v>23562730.10478618</v>
      </c>
      <c r="L81" s="39">
        <f t="shared" si="21"/>
        <v>12437269.89521382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3"/>
    </row>
    <row r="82" spans="2:29" ht="12.75">
      <c r="B82" s="167"/>
      <c r="C82" s="168"/>
      <c r="D82" s="2"/>
      <c r="E82" s="2"/>
      <c r="F82" s="2"/>
      <c r="G82" s="2"/>
      <c r="H82" s="39">
        <v>5</v>
      </c>
      <c r="I82" s="41">
        <v>1375</v>
      </c>
      <c r="J82" s="39">
        <f t="shared" si="19"/>
        <v>3625035.400736335</v>
      </c>
      <c r="K82" s="40">
        <f t="shared" si="20"/>
        <v>27187765.505522516</v>
      </c>
      <c r="L82" s="39">
        <f t="shared" si="21"/>
        <v>8812234.494477484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3"/>
    </row>
    <row r="83" spans="2:29" ht="12.75">
      <c r="B83" s="167"/>
      <c r="C83" s="168"/>
      <c r="D83" s="2"/>
      <c r="E83" s="2"/>
      <c r="F83" s="2"/>
      <c r="G83" s="2"/>
      <c r="H83" s="40">
        <v>6</v>
      </c>
      <c r="I83" s="42">
        <v>1376</v>
      </c>
      <c r="J83" s="39">
        <f t="shared" si="19"/>
        <v>2175021.240441801</v>
      </c>
      <c r="K83" s="40">
        <f t="shared" si="20"/>
        <v>29362786.74596432</v>
      </c>
      <c r="L83" s="39">
        <f t="shared" si="21"/>
        <v>6637213.2540356815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3"/>
    </row>
    <row r="84" spans="2:29" ht="12.75">
      <c r="B84" s="167"/>
      <c r="C84" s="168"/>
      <c r="D84" s="2"/>
      <c r="E84" s="2"/>
      <c r="F84" s="2"/>
      <c r="G84" s="2"/>
      <c r="H84" s="39">
        <v>7</v>
      </c>
      <c r="I84" s="41">
        <v>1377</v>
      </c>
      <c r="J84" s="39">
        <f t="shared" si="19"/>
        <v>1450014.1602945342</v>
      </c>
      <c r="K84" s="40">
        <f t="shared" si="20"/>
        <v>30812800.90625885</v>
      </c>
      <c r="L84" s="39">
        <f t="shared" si="21"/>
        <v>5187199.093741149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3"/>
    </row>
    <row r="85" spans="2:29" ht="12.75">
      <c r="B85" s="167"/>
      <c r="C85" s="168"/>
      <c r="D85" s="2"/>
      <c r="E85" s="2"/>
      <c r="F85" s="2"/>
      <c r="G85" s="2"/>
      <c r="H85" s="40">
        <v>8</v>
      </c>
      <c r="I85" s="42">
        <v>1378</v>
      </c>
      <c r="J85" s="39">
        <f t="shared" si="19"/>
        <v>906258.8501840838</v>
      </c>
      <c r="K85" s="40">
        <f t="shared" si="20"/>
        <v>31719059.756442934</v>
      </c>
      <c r="L85" s="39">
        <f t="shared" si="21"/>
        <v>4280940.243557066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3"/>
    </row>
    <row r="86" spans="2:29" ht="12.75">
      <c r="B86" s="167"/>
      <c r="C86" s="168"/>
      <c r="D86" s="2"/>
      <c r="E86" s="2"/>
      <c r="F86" s="2"/>
      <c r="G86" s="2"/>
      <c r="H86" s="39">
        <v>9</v>
      </c>
      <c r="I86" s="41">
        <v>1379</v>
      </c>
      <c r="J86" s="39">
        <f t="shared" si="19"/>
        <v>280940.24355706596</v>
      </c>
      <c r="K86" s="40">
        <f t="shared" si="20"/>
        <v>32000000</v>
      </c>
      <c r="L86" s="39">
        <f t="shared" si="21"/>
        <v>4000000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3"/>
    </row>
    <row r="87" spans="2:29" ht="12.75">
      <c r="B87" s="167"/>
      <c r="C87" s="168"/>
      <c r="D87" s="2"/>
      <c r="E87" s="2"/>
      <c r="F87" s="2"/>
      <c r="G87" s="2"/>
      <c r="H87" s="40"/>
      <c r="I87" s="40"/>
      <c r="J87" s="40">
        <f>SUM(J78:J86)</f>
        <v>32000000</v>
      </c>
      <c r="K87" s="40"/>
      <c r="L87" s="3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3"/>
    </row>
    <row r="88" spans="2:29" ht="12.75">
      <c r="B88" s="167"/>
      <c r="C88" s="168"/>
      <c r="D88" s="2"/>
      <c r="E88" s="2"/>
      <c r="F88" s="2"/>
      <c r="G88" s="2"/>
      <c r="H88" s="173"/>
      <c r="I88" s="173"/>
      <c r="J88" s="173"/>
      <c r="K88" s="173"/>
      <c r="L88" s="17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3"/>
    </row>
    <row r="89" spans="2:29" ht="12.75">
      <c r="B89" s="167"/>
      <c r="C89" s="168"/>
      <c r="D89" s="2"/>
      <c r="E89" s="2"/>
      <c r="F89" s="2"/>
      <c r="G89" s="2"/>
      <c r="H89" s="173"/>
      <c r="I89" s="173"/>
      <c r="J89" s="173"/>
      <c r="K89" s="173"/>
      <c r="L89" s="17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3"/>
    </row>
    <row r="90" spans="2:29" ht="12.75">
      <c r="B90" s="167"/>
      <c r="C90" s="168"/>
      <c r="D90" s="2"/>
      <c r="E90" s="2"/>
      <c r="F90" s="2"/>
      <c r="G90" s="2"/>
      <c r="H90" s="510" t="s">
        <v>74</v>
      </c>
      <c r="I90" s="510"/>
      <c r="J90" s="510"/>
      <c r="K90" s="510"/>
      <c r="L90" s="510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3"/>
    </row>
    <row r="91" spans="2:29" ht="12.75">
      <c r="B91" s="167"/>
      <c r="C91" s="168"/>
      <c r="D91" s="2"/>
      <c r="E91" s="2"/>
      <c r="F91" s="2"/>
      <c r="G91" s="2"/>
      <c r="H91" s="36" t="s">
        <v>65</v>
      </c>
      <c r="I91" s="36" t="s">
        <v>66</v>
      </c>
      <c r="J91" s="38" t="s">
        <v>67</v>
      </c>
      <c r="K91" s="38" t="s">
        <v>68</v>
      </c>
      <c r="L91" s="38" t="s">
        <v>69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3"/>
    </row>
    <row r="92" spans="2:29" ht="12.75">
      <c r="B92" s="167"/>
      <c r="C92" s="168"/>
      <c r="D92" s="2"/>
      <c r="E92" s="2"/>
      <c r="F92" s="2"/>
      <c r="G92" s="2"/>
      <c r="H92" s="39">
        <v>1</v>
      </c>
      <c r="I92" s="41">
        <v>1371</v>
      </c>
      <c r="J92" s="39">
        <f aca="true" t="shared" si="22" ref="J92:J100">(($E$36-$E$37)/$F$51)*F42</f>
        <v>1194029.8507462686</v>
      </c>
      <c r="K92" s="39">
        <f>J92</f>
        <v>1194029.8507462686</v>
      </c>
      <c r="L92" s="39">
        <f>$E$36-K92</f>
        <v>34805970.14925373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3"/>
    </row>
    <row r="93" spans="2:29" ht="12.75">
      <c r="B93" s="167"/>
      <c r="C93" s="168"/>
      <c r="D93" s="2"/>
      <c r="E93" s="2"/>
      <c r="F93" s="2"/>
      <c r="G93" s="2"/>
      <c r="H93" s="40">
        <v>2</v>
      </c>
      <c r="I93" s="42">
        <v>1372</v>
      </c>
      <c r="J93" s="39">
        <f t="shared" si="22"/>
        <v>5731343.2835820895</v>
      </c>
      <c r="K93" s="40">
        <f aca="true" t="shared" si="23" ref="K93:K100">K92+J93</f>
        <v>6925373.134328358</v>
      </c>
      <c r="L93" s="39">
        <f aca="true" t="shared" si="24" ref="L93:L100">$E$36-K93</f>
        <v>29074626.865671642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3"/>
    </row>
    <row r="94" spans="2:29" ht="12.75">
      <c r="B94" s="167"/>
      <c r="C94" s="168"/>
      <c r="D94" s="2"/>
      <c r="E94" s="2"/>
      <c r="F94" s="2"/>
      <c r="G94" s="2"/>
      <c r="H94" s="39">
        <v>3</v>
      </c>
      <c r="I94" s="41">
        <v>1373</v>
      </c>
      <c r="J94" s="39">
        <f t="shared" si="22"/>
        <v>5253731.3432835825</v>
      </c>
      <c r="K94" s="40">
        <f t="shared" si="23"/>
        <v>12179104.47761194</v>
      </c>
      <c r="L94" s="39">
        <f t="shared" si="24"/>
        <v>23820895.52238806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3"/>
    </row>
    <row r="95" spans="2:29" ht="12.75">
      <c r="B95" s="167"/>
      <c r="C95" s="168"/>
      <c r="D95" s="2"/>
      <c r="E95" s="2"/>
      <c r="F95" s="2"/>
      <c r="G95" s="2"/>
      <c r="H95" s="40">
        <v>4</v>
      </c>
      <c r="I95" s="42">
        <v>1374</v>
      </c>
      <c r="J95" s="39">
        <f t="shared" si="22"/>
        <v>4298507.462686568</v>
      </c>
      <c r="K95" s="40">
        <f t="shared" si="23"/>
        <v>16477611.940298509</v>
      </c>
      <c r="L95" s="39">
        <f t="shared" si="24"/>
        <v>19522388.05970149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3"/>
    </row>
    <row r="96" spans="2:29" ht="12.75">
      <c r="B96" s="167"/>
      <c r="C96" s="168"/>
      <c r="D96" s="2"/>
      <c r="E96" s="2"/>
      <c r="F96" s="2"/>
      <c r="G96" s="2"/>
      <c r="H96" s="39">
        <v>5</v>
      </c>
      <c r="I96" s="41">
        <v>1375</v>
      </c>
      <c r="J96" s="39">
        <f t="shared" si="22"/>
        <v>3820895.5223880596</v>
      </c>
      <c r="K96" s="40">
        <f t="shared" si="23"/>
        <v>20298507.46268657</v>
      </c>
      <c r="L96" s="39">
        <f t="shared" si="24"/>
        <v>15701492.537313432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3"/>
    </row>
    <row r="97" spans="2:29" ht="12.75">
      <c r="B97" s="167"/>
      <c r="C97" s="168"/>
      <c r="D97" s="2"/>
      <c r="E97" s="2"/>
      <c r="F97" s="2"/>
      <c r="G97" s="2"/>
      <c r="H97" s="40">
        <v>6</v>
      </c>
      <c r="I97" s="42">
        <v>1376</v>
      </c>
      <c r="J97" s="39">
        <f t="shared" si="22"/>
        <v>3343283.582089552</v>
      </c>
      <c r="K97" s="40">
        <f t="shared" si="23"/>
        <v>23641791.04477612</v>
      </c>
      <c r="L97" s="39">
        <f t="shared" si="24"/>
        <v>12358208.95522388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3"/>
    </row>
    <row r="98" spans="2:29" ht="12.75">
      <c r="B98" s="167"/>
      <c r="C98" s="168"/>
      <c r="D98" s="2"/>
      <c r="E98" s="2"/>
      <c r="F98" s="2"/>
      <c r="G98" s="2"/>
      <c r="H98" s="39">
        <v>7</v>
      </c>
      <c r="I98" s="41">
        <v>1377</v>
      </c>
      <c r="J98" s="39">
        <f t="shared" si="22"/>
        <v>3056716.417910448</v>
      </c>
      <c r="K98" s="40">
        <f t="shared" si="23"/>
        <v>26698507.46268657</v>
      </c>
      <c r="L98" s="39">
        <f t="shared" si="24"/>
        <v>9301492.537313432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3"/>
    </row>
    <row r="99" spans="2:29" ht="12.75">
      <c r="B99" s="167"/>
      <c r="C99" s="168"/>
      <c r="D99" s="2"/>
      <c r="E99" s="2"/>
      <c r="F99" s="2"/>
      <c r="G99" s="2"/>
      <c r="H99" s="40">
        <v>8</v>
      </c>
      <c r="I99" s="42">
        <v>1378</v>
      </c>
      <c r="J99" s="39">
        <f t="shared" si="22"/>
        <v>2674626.8656716417</v>
      </c>
      <c r="K99" s="40">
        <f t="shared" si="23"/>
        <v>29373134.32835821</v>
      </c>
      <c r="L99" s="39">
        <f t="shared" si="24"/>
        <v>6626865.671641789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3"/>
    </row>
    <row r="100" spans="2:29" ht="12.75">
      <c r="B100" s="167"/>
      <c r="C100" s="168"/>
      <c r="D100" s="2"/>
      <c r="E100" s="2"/>
      <c r="F100" s="2"/>
      <c r="G100" s="2"/>
      <c r="H100" s="39">
        <v>9</v>
      </c>
      <c r="I100" s="41">
        <v>1379</v>
      </c>
      <c r="J100" s="39">
        <f t="shared" si="22"/>
        <v>2626865.6716417912</v>
      </c>
      <c r="K100" s="40">
        <f t="shared" si="23"/>
        <v>32000000</v>
      </c>
      <c r="L100" s="39">
        <f t="shared" si="24"/>
        <v>4000000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3"/>
    </row>
    <row r="101" spans="2:29" ht="12.75">
      <c r="B101" s="167"/>
      <c r="C101" s="168"/>
      <c r="D101" s="2"/>
      <c r="E101" s="2"/>
      <c r="F101" s="2"/>
      <c r="G101" s="2"/>
      <c r="H101" s="40"/>
      <c r="I101" s="40"/>
      <c r="J101" s="40">
        <f>SUM(J92:J100)</f>
        <v>32000000</v>
      </c>
      <c r="K101" s="40"/>
      <c r="L101" s="3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3"/>
    </row>
    <row r="102" spans="2:29" ht="13.5" thickBot="1">
      <c r="B102" s="161"/>
      <c r="C102" s="170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3"/>
    </row>
  </sheetData>
  <mergeCells count="81">
    <mergeCell ref="AR48:AY48"/>
    <mergeCell ref="BE39:BF39"/>
    <mergeCell ref="BA38:BF38"/>
    <mergeCell ref="BA37:BF37"/>
    <mergeCell ref="BD39:BD40"/>
    <mergeCell ref="BA39:BC40"/>
    <mergeCell ref="BA47:BC48"/>
    <mergeCell ref="AR46:AV46"/>
    <mergeCell ref="AR47:AV47"/>
    <mergeCell ref="AR42:AV42"/>
    <mergeCell ref="AR43:AV43"/>
    <mergeCell ref="AR44:AV44"/>
    <mergeCell ref="AR45:AV45"/>
    <mergeCell ref="AX40:AX41"/>
    <mergeCell ref="AY40:AY41"/>
    <mergeCell ref="AR39:AY39"/>
    <mergeCell ref="AR38:AY38"/>
    <mergeCell ref="AR37:AY37"/>
    <mergeCell ref="AR40:AW41"/>
    <mergeCell ref="AR34:AS35"/>
    <mergeCell ref="AE33:AF34"/>
    <mergeCell ref="AE2:AF3"/>
    <mergeCell ref="B33:C34"/>
    <mergeCell ref="AR3:AS4"/>
    <mergeCell ref="C3:C4"/>
    <mergeCell ref="D3:D4"/>
    <mergeCell ref="E3:E4"/>
    <mergeCell ref="P3:U3"/>
    <mergeCell ref="P4:U4"/>
    <mergeCell ref="G3:N3"/>
    <mergeCell ref="G4:N4"/>
    <mergeCell ref="C40:C41"/>
    <mergeCell ref="D40:D41"/>
    <mergeCell ref="E40:E41"/>
    <mergeCell ref="F40:F41"/>
    <mergeCell ref="H90:L90"/>
    <mergeCell ref="H62:L62"/>
    <mergeCell ref="H34:L34"/>
    <mergeCell ref="H76:L76"/>
    <mergeCell ref="AF4:AN4"/>
    <mergeCell ref="AF5:AN5"/>
    <mergeCell ref="AF6:AN6"/>
    <mergeCell ref="H48:L48"/>
    <mergeCell ref="W33:AC33"/>
    <mergeCell ref="P14:U14"/>
    <mergeCell ref="P15:U15"/>
    <mergeCell ref="P16:U16"/>
    <mergeCell ref="P5:U5"/>
    <mergeCell ref="G5:N5"/>
    <mergeCell ref="AR6:AU6"/>
    <mergeCell ref="AR7:AU7"/>
    <mergeCell ref="AR8:AU8"/>
    <mergeCell ref="AR9:AU9"/>
    <mergeCell ref="AR10:AU10"/>
    <mergeCell ref="AR11:AU11"/>
    <mergeCell ref="AR12:AU12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R24:AU24"/>
    <mergeCell ref="AR25:AU25"/>
    <mergeCell ref="AR30:AU30"/>
    <mergeCell ref="AR31:AU31"/>
    <mergeCell ref="AR26:AU26"/>
    <mergeCell ref="AR27:AU27"/>
    <mergeCell ref="AR28:AU28"/>
    <mergeCell ref="AR29:AU29"/>
    <mergeCell ref="BA67:BF67"/>
    <mergeCell ref="BA68:BF68"/>
    <mergeCell ref="BA52:BF52"/>
    <mergeCell ref="BA53:BF53"/>
    <mergeCell ref="BA60:BF60"/>
    <mergeCell ref="BA59:BF59"/>
  </mergeCells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100"/>
  <sheetViews>
    <sheetView rightToLeft="1" workbookViewId="0" topLeftCell="AT27">
      <selection activeCell="BA42" sqref="BA42"/>
    </sheetView>
  </sheetViews>
  <sheetFormatPr defaultColWidth="9.140625" defaultRowHeight="12.75"/>
  <cols>
    <col min="5" max="5" width="9.8515625" style="0" bestFit="1" customWidth="1"/>
    <col min="6" max="6" width="14.140625" style="0" customWidth="1"/>
    <col min="19" max="20" width="9.421875" style="0" bestFit="1" customWidth="1"/>
    <col min="31" max="34" width="9.28125" style="0" bestFit="1" customWidth="1"/>
    <col min="39" max="39" width="9.28125" style="0" bestFit="1" customWidth="1"/>
    <col min="40" max="42" width="10.57421875" style="0" bestFit="1" customWidth="1"/>
    <col min="43" max="43" width="11.57421875" style="0" bestFit="1" customWidth="1"/>
    <col min="49" max="49" width="15.00390625" style="0" bestFit="1" customWidth="1"/>
    <col min="50" max="50" width="14.421875" style="0" bestFit="1" customWidth="1"/>
    <col min="51" max="51" width="15.8515625" style="0" bestFit="1" customWidth="1"/>
    <col min="52" max="52" width="13.421875" style="0" customWidth="1"/>
    <col min="53" max="54" width="12.8515625" style="0" bestFit="1" customWidth="1"/>
    <col min="55" max="55" width="13.140625" style="0" customWidth="1"/>
    <col min="56" max="56" width="9.28125" style="0" bestFit="1" customWidth="1"/>
    <col min="57" max="57" width="13.28125" style="0" bestFit="1" customWidth="1"/>
    <col min="59" max="60" width="12.7109375" style="0" bestFit="1" customWidth="1"/>
    <col min="61" max="61" width="13.28125" style="0" bestFit="1" customWidth="1"/>
  </cols>
  <sheetData>
    <row r="1" ht="13.5" thickBot="1">
      <c r="W1" s="178"/>
    </row>
    <row r="2" spans="2:27" ht="13.5" thickBot="1">
      <c r="B2" s="174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56"/>
      <c r="X2" s="157"/>
      <c r="Y2" s="157"/>
      <c r="Z2" s="157"/>
      <c r="AA2" s="158"/>
    </row>
    <row r="3" spans="2:62" ht="12.75" customHeight="1">
      <c r="B3" s="159"/>
      <c r="C3" s="658" t="s">
        <v>260</v>
      </c>
      <c r="D3" s="6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60"/>
      <c r="AD3" s="174"/>
      <c r="AE3" s="620" t="s">
        <v>382</v>
      </c>
      <c r="AF3" s="620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8"/>
      <c r="AT3" s="174"/>
      <c r="AU3" s="679" t="s">
        <v>326</v>
      </c>
      <c r="AV3" s="679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8"/>
    </row>
    <row r="4" spans="2:62" ht="12.75" customHeight="1">
      <c r="B4" s="159"/>
      <c r="C4" s="660"/>
      <c r="D4" s="6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160"/>
      <c r="AD4" s="159"/>
      <c r="AE4" s="620"/>
      <c r="AF4" s="620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160"/>
      <c r="AT4" s="159"/>
      <c r="AU4" s="620"/>
      <c r="AV4" s="620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160"/>
    </row>
    <row r="5" spans="2:62" ht="12.75">
      <c r="B5" s="159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160"/>
      <c r="AD5" s="159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160"/>
      <c r="AT5" s="159"/>
      <c r="AU5" s="56"/>
      <c r="AV5" s="56"/>
      <c r="AW5" s="56"/>
      <c r="AX5" s="56"/>
      <c r="AY5" s="623" t="s">
        <v>327</v>
      </c>
      <c r="AZ5" s="623"/>
      <c r="BA5" s="623"/>
      <c r="BB5" s="623"/>
      <c r="BC5" s="56"/>
      <c r="BD5" s="56"/>
      <c r="BE5" s="623" t="s">
        <v>114</v>
      </c>
      <c r="BF5" s="623"/>
      <c r="BG5" s="55" t="s">
        <v>328</v>
      </c>
      <c r="BH5" s="55" t="s">
        <v>329</v>
      </c>
      <c r="BI5" s="55" t="s">
        <v>330</v>
      </c>
      <c r="BJ5" s="160"/>
    </row>
    <row r="6" spans="2:62" ht="15">
      <c r="B6" s="159"/>
      <c r="C6" s="672" t="s">
        <v>261</v>
      </c>
      <c r="D6" s="672" t="s">
        <v>262</v>
      </c>
      <c r="E6" s="672" t="s">
        <v>263</v>
      </c>
      <c r="F6" s="671" t="s">
        <v>264</v>
      </c>
      <c r="G6" s="672" t="s">
        <v>265</v>
      </c>
      <c r="H6" s="672"/>
      <c r="I6" s="220"/>
      <c r="J6" s="220"/>
      <c r="K6" s="220"/>
      <c r="L6" s="220"/>
      <c r="M6" s="21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160"/>
      <c r="AD6" s="159"/>
      <c r="AE6" s="260" t="s">
        <v>356</v>
      </c>
      <c r="AF6" s="260"/>
      <c r="AG6" s="260"/>
      <c r="AH6" s="641" t="s">
        <v>357</v>
      </c>
      <c r="AI6" s="642" t="s">
        <v>358</v>
      </c>
      <c r="AJ6" s="56"/>
      <c r="AK6" s="623" t="s">
        <v>359</v>
      </c>
      <c r="AL6" s="623"/>
      <c r="AM6" s="623"/>
      <c r="AN6" s="623"/>
      <c r="AO6" s="56"/>
      <c r="AP6" s="56"/>
      <c r="AQ6" s="56"/>
      <c r="AR6" s="160"/>
      <c r="AT6" s="159"/>
      <c r="AU6" s="56"/>
      <c r="AV6" s="56"/>
      <c r="AW6" s="56"/>
      <c r="AX6" s="56"/>
      <c r="AY6" s="252" t="s">
        <v>256</v>
      </c>
      <c r="AZ6" s="252" t="s">
        <v>328</v>
      </c>
      <c r="BA6" s="252" t="s">
        <v>329</v>
      </c>
      <c r="BB6" s="252" t="s">
        <v>330</v>
      </c>
      <c r="BC6" s="56"/>
      <c r="BD6" s="56"/>
      <c r="BE6" s="680" t="s">
        <v>342</v>
      </c>
      <c r="BF6" s="681"/>
      <c r="BG6" s="335">
        <v>10000000</v>
      </c>
      <c r="BH6" s="335">
        <f>BG23</f>
        <v>8120000</v>
      </c>
      <c r="BI6" s="335">
        <f>BH23</f>
        <v>1940000</v>
      </c>
      <c r="BJ6" s="160"/>
    </row>
    <row r="7" spans="2:62" ht="14.25" customHeight="1">
      <c r="B7" s="159"/>
      <c r="C7" s="672"/>
      <c r="D7" s="672"/>
      <c r="E7" s="672"/>
      <c r="F7" s="671"/>
      <c r="G7" s="672"/>
      <c r="H7" s="672"/>
      <c r="I7" s="220"/>
      <c r="J7" s="220"/>
      <c r="K7" s="675" t="s">
        <v>114</v>
      </c>
      <c r="L7" s="675"/>
      <c r="M7" s="675"/>
      <c r="N7" s="675"/>
      <c r="O7" s="224" t="s">
        <v>270</v>
      </c>
      <c r="P7" s="224" t="s">
        <v>271</v>
      </c>
      <c r="Q7" s="224" t="s">
        <v>272</v>
      </c>
      <c r="R7" s="224" t="s">
        <v>273</v>
      </c>
      <c r="S7" s="224" t="s">
        <v>274</v>
      </c>
      <c r="T7" s="224" t="s">
        <v>275</v>
      </c>
      <c r="U7" s="224" t="s">
        <v>276</v>
      </c>
      <c r="V7" s="388" t="s">
        <v>59</v>
      </c>
      <c r="W7" s="242"/>
      <c r="X7" s="56"/>
      <c r="Y7" s="56"/>
      <c r="Z7" s="56"/>
      <c r="AA7" s="160"/>
      <c r="AD7" s="159"/>
      <c r="AE7" s="643" t="s">
        <v>360</v>
      </c>
      <c r="AF7" s="643" t="s">
        <v>289</v>
      </c>
      <c r="AG7" s="644" t="s">
        <v>361</v>
      </c>
      <c r="AH7" s="641"/>
      <c r="AI7" s="642"/>
      <c r="AJ7" s="56"/>
      <c r="AK7" s="55" t="s">
        <v>360</v>
      </c>
      <c r="AL7" s="55" t="s">
        <v>289</v>
      </c>
      <c r="AM7" s="55" t="s">
        <v>361</v>
      </c>
      <c r="AN7" s="55" t="s">
        <v>322</v>
      </c>
      <c r="AO7" s="56"/>
      <c r="AP7" s="56"/>
      <c r="AQ7" s="56"/>
      <c r="AR7" s="160"/>
      <c r="AT7" s="159"/>
      <c r="AU7" s="56"/>
      <c r="AV7" s="56"/>
      <c r="AW7" s="56"/>
      <c r="AX7" s="56"/>
      <c r="AY7" s="225">
        <v>0.6</v>
      </c>
      <c r="AZ7" s="276">
        <f>AY7*AW13</f>
        <v>21600000</v>
      </c>
      <c r="BA7" s="253">
        <f>AY7*AW14</f>
        <v>25200000</v>
      </c>
      <c r="BB7" s="253">
        <f>AY7*AW15</f>
        <v>36000000</v>
      </c>
      <c r="BC7" s="56"/>
      <c r="BD7" s="56"/>
      <c r="BE7" s="682" t="s">
        <v>343</v>
      </c>
      <c r="BF7" s="683"/>
      <c r="BG7" s="336"/>
      <c r="BH7" s="336"/>
      <c r="BI7" s="336"/>
      <c r="BJ7" s="160"/>
    </row>
    <row r="8" spans="2:62" ht="15">
      <c r="B8" s="159"/>
      <c r="C8" s="24">
        <v>11</v>
      </c>
      <c r="D8" s="24">
        <v>15000</v>
      </c>
      <c r="E8" s="24">
        <v>50</v>
      </c>
      <c r="F8" s="24">
        <v>250000</v>
      </c>
      <c r="G8" s="673" t="s">
        <v>284</v>
      </c>
      <c r="H8" s="673"/>
      <c r="I8" s="219">
        <v>72750</v>
      </c>
      <c r="J8" s="219"/>
      <c r="K8" s="677" t="s">
        <v>277</v>
      </c>
      <c r="L8" s="677"/>
      <c r="M8" s="677"/>
      <c r="N8" s="677"/>
      <c r="O8" s="209">
        <v>100000</v>
      </c>
      <c r="P8" s="209">
        <v>140000</v>
      </c>
      <c r="Q8" s="209">
        <v>40000</v>
      </c>
      <c r="R8" s="209">
        <v>80000</v>
      </c>
      <c r="S8" s="209">
        <v>30000</v>
      </c>
      <c r="T8" s="209">
        <v>50000</v>
      </c>
      <c r="U8" s="209">
        <v>60000</v>
      </c>
      <c r="V8" s="189">
        <f>SUM(O8:U8)</f>
        <v>500000</v>
      </c>
      <c r="W8" s="242"/>
      <c r="X8" s="56"/>
      <c r="Y8" s="56"/>
      <c r="Z8" s="56"/>
      <c r="AA8" s="160"/>
      <c r="AD8" s="159"/>
      <c r="AE8" s="643"/>
      <c r="AF8" s="643"/>
      <c r="AG8" s="644"/>
      <c r="AH8" s="641"/>
      <c r="AI8" s="642"/>
      <c r="AJ8" s="56"/>
      <c r="AK8" s="35" t="str">
        <f aca="true" t="shared" si="0" ref="AK8:AM10">AE9</f>
        <v>الف</v>
      </c>
      <c r="AL8" s="35">
        <f t="shared" si="0"/>
        <v>20000</v>
      </c>
      <c r="AM8" s="35">
        <f t="shared" si="0"/>
        <v>5500</v>
      </c>
      <c r="AN8" s="35">
        <f>AL8*AM8</f>
        <v>110000000</v>
      </c>
      <c r="AO8" s="56"/>
      <c r="AP8" s="56"/>
      <c r="AQ8" s="56"/>
      <c r="AR8" s="160"/>
      <c r="AT8" s="159"/>
      <c r="AU8" s="56"/>
      <c r="AV8" s="623" t="s">
        <v>331</v>
      </c>
      <c r="AW8" s="623"/>
      <c r="AX8" s="56"/>
      <c r="AY8" s="225">
        <v>0.3</v>
      </c>
      <c r="AZ8" s="376">
        <f>AY8*AW10</f>
        <v>24000000</v>
      </c>
      <c r="BA8" s="253">
        <f>AY8*AW13</f>
        <v>10800000</v>
      </c>
      <c r="BB8" s="253">
        <f>AY8*AW14</f>
        <v>12600000</v>
      </c>
      <c r="BC8" s="56"/>
      <c r="BD8" s="56"/>
      <c r="BE8" s="654" t="s">
        <v>344</v>
      </c>
      <c r="BF8" s="684"/>
      <c r="BG8" s="336">
        <f>AZ10</f>
        <v>51000000</v>
      </c>
      <c r="BH8" s="336">
        <f>BA10</f>
        <v>43200000</v>
      </c>
      <c r="BI8" s="336">
        <f>BB10</f>
        <v>51840000</v>
      </c>
      <c r="BJ8" s="160"/>
    </row>
    <row r="9" spans="2:62" ht="15">
      <c r="B9" s="159"/>
      <c r="C9" s="24">
        <v>15</v>
      </c>
      <c r="D9" s="24">
        <v>30000</v>
      </c>
      <c r="E9" s="24">
        <v>70</v>
      </c>
      <c r="F9" s="24">
        <v>100000</v>
      </c>
      <c r="G9" s="673" t="s">
        <v>285</v>
      </c>
      <c r="H9" s="673"/>
      <c r="I9" s="219">
        <v>161000</v>
      </c>
      <c r="J9" s="219"/>
      <c r="K9" s="677" t="s">
        <v>278</v>
      </c>
      <c r="L9" s="677"/>
      <c r="M9" s="677"/>
      <c r="N9" s="677"/>
      <c r="O9" s="211"/>
      <c r="P9" s="211"/>
      <c r="Q9" s="211"/>
      <c r="R9" s="211"/>
      <c r="S9" s="211"/>
      <c r="T9" s="211"/>
      <c r="U9" s="211"/>
      <c r="V9" s="189"/>
      <c r="W9" s="242"/>
      <c r="X9" s="56"/>
      <c r="Y9" s="56"/>
      <c r="Z9" s="56"/>
      <c r="AA9" s="160"/>
      <c r="AD9" s="159"/>
      <c r="AE9" s="35" t="s">
        <v>266</v>
      </c>
      <c r="AF9" s="35">
        <v>20000</v>
      </c>
      <c r="AG9" s="35">
        <v>5500</v>
      </c>
      <c r="AH9" s="35">
        <v>8000</v>
      </c>
      <c r="AI9" s="35">
        <v>10000</v>
      </c>
      <c r="AJ9" s="56"/>
      <c r="AK9" s="35" t="str">
        <f t="shared" si="0"/>
        <v>ب </v>
      </c>
      <c r="AL9" s="35">
        <f t="shared" si="0"/>
        <v>50000</v>
      </c>
      <c r="AM9" s="35">
        <f t="shared" si="0"/>
        <v>5000</v>
      </c>
      <c r="AN9" s="35">
        <f>AL9*AM9</f>
        <v>250000000</v>
      </c>
      <c r="AO9" s="56"/>
      <c r="AP9" s="56"/>
      <c r="AQ9" s="56"/>
      <c r="AR9" s="160"/>
      <c r="AT9" s="159"/>
      <c r="AU9" s="56"/>
      <c r="AV9" s="254" t="s">
        <v>332</v>
      </c>
      <c r="AW9" s="255">
        <v>60000000</v>
      </c>
      <c r="AX9" s="56"/>
      <c r="AY9" s="225">
        <v>0.09</v>
      </c>
      <c r="AZ9" s="376">
        <f>AY9*AW9</f>
        <v>5400000</v>
      </c>
      <c r="BA9" s="253">
        <f>AY9*AW10</f>
        <v>7200000</v>
      </c>
      <c r="BB9" s="253">
        <f>AW13*AY9</f>
        <v>3240000</v>
      </c>
      <c r="BC9" s="56"/>
      <c r="BD9" s="56"/>
      <c r="BE9" s="654" t="s">
        <v>345</v>
      </c>
      <c r="BF9" s="684"/>
      <c r="BG9" s="337">
        <v>2500000</v>
      </c>
      <c r="BH9" s="337">
        <v>0</v>
      </c>
      <c r="BI9" s="337">
        <v>0</v>
      </c>
      <c r="BJ9" s="160"/>
    </row>
    <row r="10" spans="2:62" ht="15" customHeight="1" thickBot="1">
      <c r="B10" s="159"/>
      <c r="C10" s="24">
        <v>21</v>
      </c>
      <c r="D10" s="24">
        <v>25000</v>
      </c>
      <c r="E10" s="24">
        <v>40</v>
      </c>
      <c r="F10" s="24">
        <v>100000</v>
      </c>
      <c r="G10" s="673" t="s">
        <v>286</v>
      </c>
      <c r="H10" s="673"/>
      <c r="I10" s="219">
        <v>18425</v>
      </c>
      <c r="J10" s="219"/>
      <c r="K10" s="678" t="s">
        <v>279</v>
      </c>
      <c r="L10" s="678"/>
      <c r="M10" s="678"/>
      <c r="N10" s="678"/>
      <c r="O10" s="211">
        <f>$U$8/120000*D8</f>
        <v>7500</v>
      </c>
      <c r="P10" s="211">
        <f>$U$8/120000*D9</f>
        <v>15000</v>
      </c>
      <c r="Q10" s="211">
        <f>$U$8/120000*D10</f>
        <v>12500</v>
      </c>
      <c r="R10" s="211">
        <f>$U$8/120000*D11</f>
        <v>5000</v>
      </c>
      <c r="S10" s="211">
        <f>$U$8/120000*D12</f>
        <v>10000</v>
      </c>
      <c r="T10" s="211">
        <f>$U$8/120000*D13</f>
        <v>10000</v>
      </c>
      <c r="U10" s="216">
        <f>SUM(O10:T10)</f>
        <v>60000</v>
      </c>
      <c r="V10" s="189"/>
      <c r="W10" s="242"/>
      <c r="X10" s="56"/>
      <c r="Y10" s="56"/>
      <c r="Z10" s="56"/>
      <c r="AA10" s="160"/>
      <c r="AD10" s="159"/>
      <c r="AE10" s="35" t="s">
        <v>362</v>
      </c>
      <c r="AF10" s="35">
        <v>50000</v>
      </c>
      <c r="AG10" s="35">
        <v>5000</v>
      </c>
      <c r="AH10" s="35">
        <v>15000</v>
      </c>
      <c r="AI10" s="35">
        <v>15000</v>
      </c>
      <c r="AJ10" s="56"/>
      <c r="AK10" s="35" t="str">
        <f t="shared" si="0"/>
        <v>ج</v>
      </c>
      <c r="AL10" s="35">
        <f t="shared" si="0"/>
        <v>30000</v>
      </c>
      <c r="AM10" s="35">
        <f t="shared" si="0"/>
        <v>8000</v>
      </c>
      <c r="AN10" s="35">
        <f>AL10*AM10</f>
        <v>240000000</v>
      </c>
      <c r="AO10" s="56"/>
      <c r="AP10" s="56"/>
      <c r="AQ10" s="56"/>
      <c r="AR10" s="160"/>
      <c r="AT10" s="159"/>
      <c r="AU10" s="56"/>
      <c r="AV10" s="256" t="s">
        <v>333</v>
      </c>
      <c r="AW10" s="257">
        <v>80000000</v>
      </c>
      <c r="AX10" s="56"/>
      <c r="AY10" s="258"/>
      <c r="AZ10" s="258">
        <f>SUM(AZ7:AZ9)</f>
        <v>51000000</v>
      </c>
      <c r="BA10" s="258">
        <f>SUM(BA7:BA9)</f>
        <v>43200000</v>
      </c>
      <c r="BB10" s="258">
        <f>SUM(BB7:BB9)</f>
        <v>51840000</v>
      </c>
      <c r="BC10" s="56"/>
      <c r="BD10" s="56"/>
      <c r="BE10" s="685" t="s">
        <v>346</v>
      </c>
      <c r="BF10" s="608"/>
      <c r="BG10" s="338">
        <f>SUM(BG6:BG9)</f>
        <v>63500000</v>
      </c>
      <c r="BH10" s="338">
        <f>SUM(BH6:BH9)</f>
        <v>51320000</v>
      </c>
      <c r="BI10" s="338">
        <f>SUM(BI6:BI9)</f>
        <v>53780000</v>
      </c>
      <c r="BJ10" s="160"/>
    </row>
    <row r="11" spans="2:62" ht="15" customHeight="1" thickBot="1" thickTop="1">
      <c r="B11" s="159"/>
      <c r="C11" s="24">
        <v>25</v>
      </c>
      <c r="D11" s="24">
        <v>10000</v>
      </c>
      <c r="E11" s="24">
        <v>20</v>
      </c>
      <c r="F11" s="24">
        <v>50000</v>
      </c>
      <c r="G11" s="673" t="s">
        <v>284</v>
      </c>
      <c r="H11" s="673"/>
      <c r="I11" s="219">
        <v>59750</v>
      </c>
      <c r="J11" s="219"/>
      <c r="K11" s="678" t="s">
        <v>280</v>
      </c>
      <c r="L11" s="678"/>
      <c r="M11" s="678"/>
      <c r="N11" s="678"/>
      <c r="O11" s="211">
        <f>($T$8+$T$10)/200*E8</f>
        <v>15000</v>
      </c>
      <c r="P11" s="211">
        <f>($T$8+$T$10)/200*E9</f>
        <v>21000</v>
      </c>
      <c r="Q11" s="211">
        <f>($T$8+$T$10)/200*E10</f>
        <v>12000</v>
      </c>
      <c r="R11" s="211">
        <f>($T$8+$T$10)/200*E11</f>
        <v>6000</v>
      </c>
      <c r="S11" s="211">
        <f>($T$8+$T$10)/200*E12</f>
        <v>6000</v>
      </c>
      <c r="T11" s="216">
        <f>SUM(O11:S11)</f>
        <v>60000</v>
      </c>
      <c r="U11" s="211"/>
      <c r="V11" s="189"/>
      <c r="W11" s="242"/>
      <c r="X11" s="56"/>
      <c r="Y11" s="56"/>
      <c r="Z11" s="56"/>
      <c r="AA11" s="160"/>
      <c r="AD11" s="159"/>
      <c r="AE11" s="35" t="s">
        <v>268</v>
      </c>
      <c r="AF11" s="35">
        <v>30000</v>
      </c>
      <c r="AG11" s="35">
        <v>8000</v>
      </c>
      <c r="AH11" s="35">
        <v>6000</v>
      </c>
      <c r="AI11" s="35">
        <v>6000</v>
      </c>
      <c r="AJ11" s="56"/>
      <c r="AK11" s="267"/>
      <c r="AL11" s="268"/>
      <c r="AM11" s="269"/>
      <c r="AN11" s="270">
        <f>SUM(AN8:AN10)</f>
        <v>600000000</v>
      </c>
      <c r="AO11" s="56"/>
      <c r="AP11" s="56"/>
      <c r="AQ11" s="56"/>
      <c r="AR11" s="160"/>
      <c r="AT11" s="159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682" t="s">
        <v>347</v>
      </c>
      <c r="BF11" s="683"/>
      <c r="BG11" s="336"/>
      <c r="BH11" s="336"/>
      <c r="BI11" s="336"/>
      <c r="BJ11" s="160"/>
    </row>
    <row r="12" spans="2:62" ht="15" customHeight="1" thickBot="1" thickTop="1">
      <c r="B12" s="159"/>
      <c r="C12" s="24" t="s">
        <v>266</v>
      </c>
      <c r="D12" s="24">
        <v>20000</v>
      </c>
      <c r="E12" s="24">
        <v>20</v>
      </c>
      <c r="F12" s="24">
        <v>50000</v>
      </c>
      <c r="G12" s="218"/>
      <c r="H12" s="218"/>
      <c r="I12" s="218"/>
      <c r="J12" s="218"/>
      <c r="K12" s="678" t="s">
        <v>281</v>
      </c>
      <c r="L12" s="678"/>
      <c r="M12" s="678"/>
      <c r="N12" s="678"/>
      <c r="O12" s="210">
        <f>($S$8+$S$10+$S$11)/500000*F8</f>
        <v>23000</v>
      </c>
      <c r="P12" s="210">
        <f>($S$8+$S$10+$S$11)/500000*F9</f>
        <v>9200</v>
      </c>
      <c r="Q12" s="210">
        <f>($S$8+$S$10+$S$11)/500000*F10</f>
        <v>9200</v>
      </c>
      <c r="R12" s="210">
        <f>($S$8+$S$10+$S$11)/500000*F11</f>
        <v>4600</v>
      </c>
      <c r="S12" s="216">
        <f>SUM(O12:R12)</f>
        <v>46000</v>
      </c>
      <c r="T12" s="211"/>
      <c r="U12" s="211"/>
      <c r="V12" s="189"/>
      <c r="W12" s="242"/>
      <c r="X12" s="56"/>
      <c r="Y12" s="56"/>
      <c r="Z12" s="56"/>
      <c r="AA12" s="160"/>
      <c r="AD12" s="159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160"/>
      <c r="AT12" s="159"/>
      <c r="AU12" s="56"/>
      <c r="AV12" s="623" t="s">
        <v>334</v>
      </c>
      <c r="AW12" s="623"/>
      <c r="AX12" s="56"/>
      <c r="AY12" s="635" t="s">
        <v>114</v>
      </c>
      <c r="AZ12" s="637"/>
      <c r="BA12" s="261" t="str">
        <f>AZ6</f>
        <v>فروردین</v>
      </c>
      <c r="BB12" s="260" t="str">
        <f>BA6</f>
        <v>اردیبهشت</v>
      </c>
      <c r="BC12" s="56"/>
      <c r="BD12" s="56"/>
      <c r="BE12" s="654" t="s">
        <v>348</v>
      </c>
      <c r="BF12" s="684"/>
      <c r="BG12" s="336">
        <v>37000000</v>
      </c>
      <c r="BH12" s="336">
        <f>BA17</f>
        <v>34200000</v>
      </c>
      <c r="BI12" s="336">
        <f>BB17</f>
        <v>28800000</v>
      </c>
      <c r="BJ12" s="160"/>
    </row>
    <row r="13" spans="2:62" ht="16.5" thickBot="1" thickTop="1">
      <c r="B13" s="159"/>
      <c r="C13" s="24" t="s">
        <v>267</v>
      </c>
      <c r="D13" s="24">
        <v>20000</v>
      </c>
      <c r="E13" s="24">
        <v>10</v>
      </c>
      <c r="F13" s="24">
        <v>26000</v>
      </c>
      <c r="G13" s="218"/>
      <c r="H13" s="218"/>
      <c r="I13" s="218"/>
      <c r="J13" s="218"/>
      <c r="K13" s="677" t="s">
        <v>282</v>
      </c>
      <c r="L13" s="677"/>
      <c r="M13" s="677"/>
      <c r="N13" s="677"/>
      <c r="O13" s="222">
        <f>SUM(O8:O12)</f>
        <v>145500</v>
      </c>
      <c r="P13" s="222">
        <f>SUM(P8:P12)</f>
        <v>185200</v>
      </c>
      <c r="Q13" s="222">
        <f>SUM(Q8:Q12)</f>
        <v>73700</v>
      </c>
      <c r="R13" s="222">
        <f>SUM(R8:R12)</f>
        <v>95600</v>
      </c>
      <c r="S13" s="211"/>
      <c r="T13" s="211"/>
      <c r="U13" s="211"/>
      <c r="V13" s="389">
        <f>SUM(O13:U13)</f>
        <v>500000</v>
      </c>
      <c r="W13" s="242"/>
      <c r="X13" s="56"/>
      <c r="Y13" s="56"/>
      <c r="Z13" s="56"/>
      <c r="AA13" s="160"/>
      <c r="AD13" s="159"/>
      <c r="AE13" s="55"/>
      <c r="AF13" s="55"/>
      <c r="AG13" s="635" t="s">
        <v>363</v>
      </c>
      <c r="AH13" s="636"/>
      <c r="AI13" s="637"/>
      <c r="AJ13" s="56"/>
      <c r="AK13" s="618" t="s">
        <v>364</v>
      </c>
      <c r="AL13" s="618"/>
      <c r="AM13" s="618"/>
      <c r="AN13" s="623"/>
      <c r="AO13" s="623"/>
      <c r="AP13" s="623"/>
      <c r="AQ13" s="56"/>
      <c r="AR13" s="160"/>
      <c r="AT13" s="159"/>
      <c r="AU13" s="56"/>
      <c r="AV13" s="254" t="s">
        <v>328</v>
      </c>
      <c r="AW13" s="255">
        <v>36000000</v>
      </c>
      <c r="AX13" s="56"/>
      <c r="AY13" s="654" t="s">
        <v>351</v>
      </c>
      <c r="AZ13" s="684"/>
      <c r="BA13" s="154">
        <v>21600000</v>
      </c>
      <c r="BB13" s="262">
        <v>25200000</v>
      </c>
      <c r="BC13" s="56"/>
      <c r="BD13" s="56"/>
      <c r="BE13" s="654" t="s">
        <v>410</v>
      </c>
      <c r="BF13" s="684"/>
      <c r="BG13" s="336">
        <f>AZ25</f>
        <v>11160000</v>
      </c>
      <c r="BH13" s="336">
        <f>AZ27</f>
        <v>7860000</v>
      </c>
      <c r="BI13" s="336">
        <f>AZ29</f>
        <v>10380000</v>
      </c>
      <c r="BJ13" s="160"/>
    </row>
    <row r="14" spans="2:62" ht="15.75" thickTop="1">
      <c r="B14" s="159"/>
      <c r="C14" s="24" t="s">
        <v>268</v>
      </c>
      <c r="D14" s="24">
        <v>5000</v>
      </c>
      <c r="E14" s="24">
        <v>10</v>
      </c>
      <c r="F14" s="24">
        <v>24000</v>
      </c>
      <c r="G14" s="218"/>
      <c r="H14" s="218"/>
      <c r="I14" s="218"/>
      <c r="J14" s="218"/>
      <c r="K14" s="678" t="s">
        <v>283</v>
      </c>
      <c r="L14" s="678"/>
      <c r="M14" s="678"/>
      <c r="N14" s="678"/>
      <c r="O14" s="211"/>
      <c r="P14" s="211"/>
      <c r="Q14" s="211"/>
      <c r="R14" s="211"/>
      <c r="S14" s="211"/>
      <c r="T14" s="211"/>
      <c r="U14" s="211"/>
      <c r="V14" s="189"/>
      <c r="W14" s="242"/>
      <c r="X14" s="56"/>
      <c r="Y14" s="56"/>
      <c r="Z14" s="56"/>
      <c r="AA14" s="160"/>
      <c r="AD14" s="159"/>
      <c r="AE14" s="55" t="s">
        <v>365</v>
      </c>
      <c r="AF14" s="55" t="s">
        <v>289</v>
      </c>
      <c r="AG14" s="55" t="str">
        <f>AE9</f>
        <v>الف</v>
      </c>
      <c r="AH14" s="55" t="str">
        <f>AE10</f>
        <v>ب </v>
      </c>
      <c r="AI14" s="55" t="str">
        <f>AE11</f>
        <v>ج</v>
      </c>
      <c r="AJ14" s="56"/>
      <c r="AK14" s="638" t="s">
        <v>360</v>
      </c>
      <c r="AL14" s="639"/>
      <c r="AM14" s="640"/>
      <c r="AN14" s="637" t="str">
        <f>AE9</f>
        <v>الف</v>
      </c>
      <c r="AO14" s="623" t="str">
        <f>AE10</f>
        <v>ب </v>
      </c>
      <c r="AP14" s="623" t="str">
        <f>AE11</f>
        <v>ج</v>
      </c>
      <c r="AQ14" s="56"/>
      <c r="AR14" s="160"/>
      <c r="AT14" s="159"/>
      <c r="AU14" s="56"/>
      <c r="AV14" s="254" t="s">
        <v>329</v>
      </c>
      <c r="AW14" s="255">
        <v>42000000</v>
      </c>
      <c r="AX14" s="56"/>
      <c r="AY14" s="654" t="s">
        <v>349</v>
      </c>
      <c r="AZ14" s="684"/>
      <c r="BA14" s="246">
        <v>93600000</v>
      </c>
      <c r="BB14" s="263">
        <v>97200000</v>
      </c>
      <c r="BC14" s="56"/>
      <c r="BD14" s="56"/>
      <c r="BE14" s="654" t="s">
        <v>411</v>
      </c>
      <c r="BF14" s="684"/>
      <c r="BG14" s="336">
        <f>BA36</f>
        <v>4920000</v>
      </c>
      <c r="BH14" s="336">
        <f>BB36</f>
        <v>4020000</v>
      </c>
      <c r="BI14" s="336">
        <f>BC36</f>
        <v>5460000</v>
      </c>
      <c r="BJ14" s="160"/>
    </row>
    <row r="15" spans="2:62" ht="15">
      <c r="B15" s="159"/>
      <c r="C15" s="25" t="s">
        <v>269</v>
      </c>
      <c r="D15" s="25">
        <f>SUM(D8:D14)</f>
        <v>125000</v>
      </c>
      <c r="E15" s="25">
        <f>SUM(E8:E14)</f>
        <v>220</v>
      </c>
      <c r="F15" s="25">
        <f>SUM(F8:F14)</f>
        <v>600000</v>
      </c>
      <c r="G15" s="218"/>
      <c r="H15" s="218"/>
      <c r="I15" s="218"/>
      <c r="J15" s="218"/>
      <c r="K15" s="674" t="str">
        <f>G8</f>
        <v>ساعات کار مستقیم </v>
      </c>
      <c r="L15" s="674"/>
      <c r="M15" s="674"/>
      <c r="N15" s="674"/>
      <c r="O15" s="211">
        <f>I8</f>
        <v>72750</v>
      </c>
      <c r="P15" s="211"/>
      <c r="Q15" s="211"/>
      <c r="R15" s="211"/>
      <c r="S15" s="211"/>
      <c r="T15" s="211"/>
      <c r="U15" s="211"/>
      <c r="V15" s="189"/>
      <c r="W15" s="242"/>
      <c r="X15" s="56"/>
      <c r="Y15" s="56"/>
      <c r="Z15" s="56"/>
      <c r="AA15" s="160"/>
      <c r="AD15" s="159"/>
      <c r="AE15" s="35">
        <v>110</v>
      </c>
      <c r="AF15" s="35" t="s">
        <v>366</v>
      </c>
      <c r="AG15" s="35">
        <v>3</v>
      </c>
      <c r="AH15" s="35"/>
      <c r="AI15" s="35">
        <v>5</v>
      </c>
      <c r="AJ15" s="56"/>
      <c r="AK15" s="578" t="s">
        <v>114</v>
      </c>
      <c r="AL15" s="579"/>
      <c r="AM15" s="580"/>
      <c r="AN15" s="637"/>
      <c r="AO15" s="623"/>
      <c r="AP15" s="623"/>
      <c r="AQ15" s="56"/>
      <c r="AR15" s="160"/>
      <c r="AT15" s="159"/>
      <c r="AU15" s="56"/>
      <c r="AV15" s="254" t="s">
        <v>330</v>
      </c>
      <c r="AW15" s="255">
        <v>60000000</v>
      </c>
      <c r="AX15" s="56"/>
      <c r="AY15" s="682" t="s">
        <v>59</v>
      </c>
      <c r="AZ15" s="683"/>
      <c r="BA15" s="154">
        <f>SUM(BA13:BA14)</f>
        <v>115200000</v>
      </c>
      <c r="BB15" s="262">
        <f>SUM(BB13:BB14)</f>
        <v>122400000</v>
      </c>
      <c r="BC15" s="56"/>
      <c r="BD15" s="56"/>
      <c r="BE15" s="654" t="s">
        <v>412</v>
      </c>
      <c r="BF15" s="684"/>
      <c r="BG15" s="336"/>
      <c r="BH15" s="336"/>
      <c r="BI15" s="336">
        <v>2500000</v>
      </c>
      <c r="BJ15" s="160"/>
    </row>
    <row r="16" spans="2:62" ht="15">
      <c r="B16" s="159"/>
      <c r="C16" s="56"/>
      <c r="D16" s="56"/>
      <c r="E16" s="56"/>
      <c r="F16" s="56"/>
      <c r="G16" s="56"/>
      <c r="H16" s="56"/>
      <c r="I16" s="56"/>
      <c r="J16" s="56"/>
      <c r="K16" s="674" t="str">
        <f>G9</f>
        <v>هزینه کار مستقیم    </v>
      </c>
      <c r="L16" s="674"/>
      <c r="M16" s="674"/>
      <c r="N16" s="674"/>
      <c r="O16" s="211"/>
      <c r="P16" s="211">
        <f>I9</f>
        <v>161000</v>
      </c>
      <c r="Q16" s="211"/>
      <c r="R16" s="211"/>
      <c r="S16" s="211"/>
      <c r="T16" s="211"/>
      <c r="U16" s="211"/>
      <c r="V16" s="189"/>
      <c r="W16" s="242"/>
      <c r="X16" s="56"/>
      <c r="Y16" s="56"/>
      <c r="Z16" s="56"/>
      <c r="AA16" s="160"/>
      <c r="AD16" s="159"/>
      <c r="AE16" s="35">
        <v>50</v>
      </c>
      <c r="AF16" s="35" t="s">
        <v>366</v>
      </c>
      <c r="AG16" s="35">
        <v>2</v>
      </c>
      <c r="AH16" s="35">
        <v>1</v>
      </c>
      <c r="AI16" s="35">
        <v>3</v>
      </c>
      <c r="AJ16" s="56"/>
      <c r="AK16" s="633" t="s">
        <v>367</v>
      </c>
      <c r="AL16" s="633"/>
      <c r="AM16" s="633"/>
      <c r="AN16" s="225">
        <f>AL8</f>
        <v>20000</v>
      </c>
      <c r="AO16" s="225">
        <f>AL9</f>
        <v>50000</v>
      </c>
      <c r="AP16" s="225">
        <f>AL10</f>
        <v>30000</v>
      </c>
      <c r="AQ16" s="56"/>
      <c r="AR16" s="160"/>
      <c r="AT16" s="159"/>
      <c r="AU16" s="56"/>
      <c r="AV16" s="254" t="s">
        <v>335</v>
      </c>
      <c r="AW16" s="255">
        <v>54000000</v>
      </c>
      <c r="AX16" s="56"/>
      <c r="AY16" s="682" t="s">
        <v>350</v>
      </c>
      <c r="AZ16" s="683"/>
      <c r="BA16" s="154">
        <v>81000000</v>
      </c>
      <c r="BB16" s="262">
        <v>93600000</v>
      </c>
      <c r="BC16" s="56"/>
      <c r="BD16" s="56"/>
      <c r="BE16" s="654" t="s">
        <v>413</v>
      </c>
      <c r="BF16" s="684"/>
      <c r="BG16" s="336"/>
      <c r="BH16" s="336"/>
      <c r="BI16" s="336">
        <v>2000000</v>
      </c>
      <c r="BJ16" s="160"/>
    </row>
    <row r="17" spans="2:62" ht="15.75" thickBot="1">
      <c r="B17" s="159"/>
      <c r="C17" s="56"/>
      <c r="D17" s="56"/>
      <c r="E17" s="56"/>
      <c r="F17" s="56"/>
      <c r="G17" s="56"/>
      <c r="H17" s="56"/>
      <c r="I17" s="56"/>
      <c r="J17" s="56"/>
      <c r="K17" s="674" t="str">
        <f>G10</f>
        <v>ساعات کار ماشین </v>
      </c>
      <c r="L17" s="674"/>
      <c r="M17" s="674"/>
      <c r="N17" s="674"/>
      <c r="O17" s="211"/>
      <c r="P17" s="211"/>
      <c r="Q17" s="211">
        <f>I10</f>
        <v>18425</v>
      </c>
      <c r="R17" s="211"/>
      <c r="S17" s="211"/>
      <c r="T17" s="211"/>
      <c r="U17" s="211"/>
      <c r="V17" s="189"/>
      <c r="W17" s="242"/>
      <c r="X17" s="56"/>
      <c r="Y17" s="56"/>
      <c r="Z17" s="56"/>
      <c r="AA17" s="160"/>
      <c r="AD17" s="159"/>
      <c r="AE17" s="35">
        <v>41</v>
      </c>
      <c r="AF17" s="35" t="s">
        <v>368</v>
      </c>
      <c r="AG17" s="35"/>
      <c r="AH17" s="35">
        <v>2</v>
      </c>
      <c r="AI17" s="35"/>
      <c r="AJ17" s="56"/>
      <c r="AK17" s="634" t="str">
        <f>AI6</f>
        <v>تعداد موجودی های مورد نظر در 1383/12/29</v>
      </c>
      <c r="AL17" s="634"/>
      <c r="AM17" s="634"/>
      <c r="AN17" s="225">
        <f>AI9</f>
        <v>10000</v>
      </c>
      <c r="AO17" s="225">
        <f>AI10</f>
        <v>15000</v>
      </c>
      <c r="AP17" s="225">
        <f>AI11</f>
        <v>6000</v>
      </c>
      <c r="AQ17" s="56"/>
      <c r="AR17" s="160"/>
      <c r="AT17" s="159"/>
      <c r="AU17" s="56"/>
      <c r="AV17" s="334" t="s">
        <v>336</v>
      </c>
      <c r="AW17" s="255">
        <v>48000000</v>
      </c>
      <c r="AX17" s="56"/>
      <c r="AY17" s="686" t="s">
        <v>352</v>
      </c>
      <c r="AZ17" s="610"/>
      <c r="BA17" s="264">
        <f>BA15-BA16</f>
        <v>34200000</v>
      </c>
      <c r="BB17" s="265">
        <f>BB15-BB16</f>
        <v>28800000</v>
      </c>
      <c r="BC17" s="56"/>
      <c r="BD17" s="56"/>
      <c r="BE17" s="654" t="s">
        <v>414</v>
      </c>
      <c r="BF17" s="684"/>
      <c r="BG17" s="336"/>
      <c r="BH17" s="336">
        <v>1000000</v>
      </c>
      <c r="BI17" s="336">
        <v>1500000</v>
      </c>
      <c r="BJ17" s="160"/>
    </row>
    <row r="18" spans="2:62" ht="16.5" thickBot="1" thickTop="1">
      <c r="B18" s="159"/>
      <c r="C18" s="56"/>
      <c r="D18" s="56"/>
      <c r="E18" s="56"/>
      <c r="F18" s="56"/>
      <c r="G18" s="56"/>
      <c r="H18" s="56"/>
      <c r="I18" s="56"/>
      <c r="J18" s="56"/>
      <c r="K18" s="674" t="str">
        <f>G11</f>
        <v>ساعات کار مستقیم </v>
      </c>
      <c r="L18" s="674"/>
      <c r="M18" s="674"/>
      <c r="N18" s="674"/>
      <c r="O18" s="211"/>
      <c r="P18" s="211"/>
      <c r="Q18" s="211"/>
      <c r="R18" s="211">
        <f>I11</f>
        <v>59750</v>
      </c>
      <c r="S18" s="211"/>
      <c r="T18" s="211"/>
      <c r="U18" s="211"/>
      <c r="V18" s="189"/>
      <c r="W18" s="242"/>
      <c r="X18" s="56"/>
      <c r="Y18" s="56"/>
      <c r="Z18" s="56"/>
      <c r="AA18" s="160"/>
      <c r="AD18" s="159"/>
      <c r="AE18" s="35">
        <v>30</v>
      </c>
      <c r="AF18" s="35" t="s">
        <v>368</v>
      </c>
      <c r="AG18" s="35"/>
      <c r="AH18" s="35">
        <v>3</v>
      </c>
      <c r="AI18" s="35"/>
      <c r="AJ18" s="56"/>
      <c r="AK18" s="619" t="s">
        <v>59</v>
      </c>
      <c r="AL18" s="619"/>
      <c r="AM18" s="619"/>
      <c r="AN18" s="225">
        <f>SUM(AN16:AN17)</f>
        <v>30000</v>
      </c>
      <c r="AO18" s="225">
        <f>SUM(AO16:AO17)</f>
        <v>65000</v>
      </c>
      <c r="AP18" s="225">
        <f>SUM(AP16:AP17)</f>
        <v>36000</v>
      </c>
      <c r="AQ18" s="56"/>
      <c r="AR18" s="160"/>
      <c r="AT18" s="159"/>
      <c r="AU18" s="56"/>
      <c r="AV18" s="254" t="s">
        <v>337</v>
      </c>
      <c r="AW18" s="255">
        <v>40000000</v>
      </c>
      <c r="AX18" s="56"/>
      <c r="AY18" s="56"/>
      <c r="AZ18" s="56"/>
      <c r="BA18" s="56"/>
      <c r="BB18" s="56"/>
      <c r="BC18" s="56"/>
      <c r="BD18" s="56"/>
      <c r="BE18" s="654" t="s">
        <v>415</v>
      </c>
      <c r="BF18" s="684"/>
      <c r="BG18" s="336">
        <v>300000</v>
      </c>
      <c r="BH18" s="336">
        <v>300000</v>
      </c>
      <c r="BI18" s="336">
        <v>300000</v>
      </c>
      <c r="BJ18" s="160"/>
    </row>
    <row r="19" spans="2:62" ht="15" customHeight="1">
      <c r="B19" s="159"/>
      <c r="C19" s="56"/>
      <c r="D19" s="56"/>
      <c r="E19" s="56"/>
      <c r="F19" s="56"/>
      <c r="G19" s="56"/>
      <c r="H19" s="56"/>
      <c r="I19" s="56"/>
      <c r="J19" s="56"/>
      <c r="K19" s="676" t="s">
        <v>287</v>
      </c>
      <c r="L19" s="676"/>
      <c r="M19" s="676"/>
      <c r="N19" s="676"/>
      <c r="O19" s="223">
        <f>O13/O15</f>
        <v>2</v>
      </c>
      <c r="P19" s="223">
        <f>P13/P16</f>
        <v>1.1503105590062113</v>
      </c>
      <c r="Q19" s="223">
        <f>Q13/Q17</f>
        <v>4</v>
      </c>
      <c r="R19" s="223">
        <f>R13/R18</f>
        <v>1.6</v>
      </c>
      <c r="S19" s="210"/>
      <c r="T19" s="210"/>
      <c r="U19" s="210"/>
      <c r="V19" s="192"/>
      <c r="W19" s="242"/>
      <c r="X19" s="56"/>
      <c r="Y19" s="56"/>
      <c r="Z19" s="56"/>
      <c r="AA19" s="160"/>
      <c r="AD19" s="159"/>
      <c r="AE19" s="271">
        <v>40</v>
      </c>
      <c r="AF19" s="271" t="s">
        <v>369</v>
      </c>
      <c r="AG19" s="35">
        <v>5</v>
      </c>
      <c r="AH19" s="35"/>
      <c r="AI19" s="35">
        <v>4</v>
      </c>
      <c r="AJ19" s="56"/>
      <c r="AK19" s="634" t="str">
        <f>AH6</f>
        <v>تعداد موجودی های مورد نظر در 1383/1/1</v>
      </c>
      <c r="AL19" s="634"/>
      <c r="AM19" s="634"/>
      <c r="AN19" s="225">
        <f>AH9</f>
        <v>8000</v>
      </c>
      <c r="AO19" s="225">
        <f>AH10</f>
        <v>15000</v>
      </c>
      <c r="AP19" s="225">
        <f>AH11</f>
        <v>6000</v>
      </c>
      <c r="AQ19" s="56"/>
      <c r="AR19" s="160"/>
      <c r="AT19" s="159"/>
      <c r="AU19" s="56"/>
      <c r="AV19" s="254" t="s">
        <v>338</v>
      </c>
      <c r="AW19" s="255">
        <v>35000000</v>
      </c>
      <c r="AX19" s="56"/>
      <c r="AY19" s="174" t="s">
        <v>419</v>
      </c>
      <c r="AZ19" s="157"/>
      <c r="BA19" s="157">
        <v>12000000</v>
      </c>
      <c r="BB19" s="157"/>
      <c r="BC19" s="158"/>
      <c r="BD19" s="56"/>
      <c r="BE19" s="654" t="s">
        <v>416</v>
      </c>
      <c r="BF19" s="684"/>
      <c r="BG19" s="336"/>
      <c r="BH19" s="336"/>
      <c r="BI19" s="336">
        <v>6000000</v>
      </c>
      <c r="BJ19" s="160"/>
    </row>
    <row r="20" spans="2:62" ht="15.75" thickBot="1">
      <c r="B20" s="159"/>
      <c r="C20" s="56"/>
      <c r="D20" s="56"/>
      <c r="E20" s="56"/>
      <c r="F20" s="56"/>
      <c r="G20" s="56"/>
      <c r="H20" s="56"/>
      <c r="I20" s="56"/>
      <c r="J20" s="56"/>
      <c r="K20" s="56"/>
      <c r="L20" s="221"/>
      <c r="M20" s="221"/>
      <c r="N20" s="221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160"/>
      <c r="AD20" s="159"/>
      <c r="AE20" s="56"/>
      <c r="AF20" s="56"/>
      <c r="AG20" s="56"/>
      <c r="AH20" s="56"/>
      <c r="AI20" s="56"/>
      <c r="AJ20" s="56"/>
      <c r="AK20" s="631" t="s">
        <v>370</v>
      </c>
      <c r="AL20" s="631"/>
      <c r="AM20" s="631"/>
      <c r="AN20" s="272">
        <f>AN18-AN19</f>
        <v>22000</v>
      </c>
      <c r="AO20" s="272">
        <f>AO18-AO19</f>
        <v>50000</v>
      </c>
      <c r="AP20" s="272">
        <f>AP18-AP19</f>
        <v>30000</v>
      </c>
      <c r="AQ20" s="56"/>
      <c r="AR20" s="160"/>
      <c r="AT20" s="159"/>
      <c r="AU20" s="56"/>
      <c r="AV20" s="254" t="s">
        <v>339</v>
      </c>
      <c r="AW20" s="255">
        <v>55000000</v>
      </c>
      <c r="AX20" s="56"/>
      <c r="AY20" s="159" t="s">
        <v>67</v>
      </c>
      <c r="AZ20" s="56"/>
      <c r="BA20" s="226">
        <v>-2000000</v>
      </c>
      <c r="BB20" s="56"/>
      <c r="BC20" s="160"/>
      <c r="BD20" s="56"/>
      <c r="BE20" s="654" t="s">
        <v>417</v>
      </c>
      <c r="BF20" s="684"/>
      <c r="BG20" s="336">
        <v>2000000</v>
      </c>
      <c r="BH20" s="336">
        <v>2000000</v>
      </c>
      <c r="BI20" s="336">
        <v>2000000</v>
      </c>
      <c r="BJ20" s="160"/>
    </row>
    <row r="21" spans="2:62" ht="15.75" thickTop="1">
      <c r="B21" s="159"/>
      <c r="C21" s="56"/>
      <c r="D21" s="56"/>
      <c r="E21" s="56"/>
      <c r="F21" s="56"/>
      <c r="G21" s="56"/>
      <c r="H21" s="56"/>
      <c r="I21" s="56"/>
      <c r="J21" s="56"/>
      <c r="K21" s="56"/>
      <c r="L21" s="221"/>
      <c r="M21" s="221"/>
      <c r="N21" s="221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160"/>
      <c r="AD21" s="159"/>
      <c r="AE21" s="55"/>
      <c r="AF21" s="266"/>
      <c r="AG21" s="632" t="str">
        <f>AH6</f>
        <v>تعداد موجودی های مورد نظر در 1383/1/1</v>
      </c>
      <c r="AH21" s="632" t="str">
        <f>AI6</f>
        <v>تعداد موجودی های مورد نظر در 1383/12/29</v>
      </c>
      <c r="AI21" s="56"/>
      <c r="AJ21" s="56"/>
      <c r="AK21" s="56"/>
      <c r="AL21" s="56"/>
      <c r="AM21" s="56"/>
      <c r="AN21" s="56"/>
      <c r="AO21" s="56"/>
      <c r="AP21" s="56"/>
      <c r="AQ21" s="56"/>
      <c r="AR21" s="160"/>
      <c r="AT21" s="159"/>
      <c r="AU21" s="56"/>
      <c r="AV21" s="254" t="s">
        <v>340</v>
      </c>
      <c r="AW21" s="255">
        <v>50000000</v>
      </c>
      <c r="AX21" s="56"/>
      <c r="AY21" s="159" t="s">
        <v>420</v>
      </c>
      <c r="AZ21" s="56"/>
      <c r="BA21" s="56">
        <f>SUM(BA19:BA20)</f>
        <v>10000000</v>
      </c>
      <c r="BB21" s="56"/>
      <c r="BC21" s="160"/>
      <c r="BD21" s="56"/>
      <c r="BE21" s="654" t="s">
        <v>418</v>
      </c>
      <c r="BF21" s="684"/>
      <c r="BG21" s="337"/>
      <c r="BH21" s="337"/>
      <c r="BI21" s="337">
        <f>BG33</f>
        <v>390000</v>
      </c>
      <c r="BJ21" s="160"/>
    </row>
    <row r="22" spans="2:62" ht="13.5" thickBot="1"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D22" s="159"/>
      <c r="AE22" s="55" t="s">
        <v>365</v>
      </c>
      <c r="AF22" s="266" t="s">
        <v>361</v>
      </c>
      <c r="AG22" s="632"/>
      <c r="AH22" s="632"/>
      <c r="AI22" s="56"/>
      <c r="AJ22" s="56"/>
      <c r="AK22" s="623" t="s">
        <v>371</v>
      </c>
      <c r="AL22" s="623"/>
      <c r="AM22" s="623"/>
      <c r="AN22" s="623"/>
      <c r="AO22" s="623"/>
      <c r="AP22" s="623"/>
      <c r="AQ22" s="623"/>
      <c r="AR22" s="160"/>
      <c r="AT22" s="159"/>
      <c r="AU22" s="56"/>
      <c r="AV22" s="254" t="s">
        <v>341</v>
      </c>
      <c r="AW22" s="255">
        <v>40000000</v>
      </c>
      <c r="AX22" s="56"/>
      <c r="AY22" s="159" t="s">
        <v>421</v>
      </c>
      <c r="AZ22" s="56"/>
      <c r="BA22" s="326">
        <f>BA21*12</f>
        <v>120000000</v>
      </c>
      <c r="BB22" s="56"/>
      <c r="BC22" s="160"/>
      <c r="BD22" s="56"/>
      <c r="BE22" s="685" t="s">
        <v>433</v>
      </c>
      <c r="BF22" s="608"/>
      <c r="BG22" s="339">
        <f>SUM(BG12:BG21)</f>
        <v>55380000</v>
      </c>
      <c r="BH22" s="339">
        <f>SUM(BH12:BH21)</f>
        <v>49380000</v>
      </c>
      <c r="BI22" s="339">
        <f>SUM(BI12:BI21)</f>
        <v>59330000</v>
      </c>
      <c r="BJ22" s="160"/>
    </row>
    <row r="23" spans="30:62" ht="13.5" thickBot="1">
      <c r="AD23" s="159"/>
      <c r="AE23" s="35">
        <v>110</v>
      </c>
      <c r="AF23" s="267">
        <v>300</v>
      </c>
      <c r="AG23" s="35">
        <v>21000</v>
      </c>
      <c r="AH23" s="35">
        <v>25000</v>
      </c>
      <c r="AI23" s="56"/>
      <c r="AJ23" s="56"/>
      <c r="AK23" s="55" t="str">
        <f>AK7</f>
        <v>محصول</v>
      </c>
      <c r="AL23" s="273" t="str">
        <f>AK20</f>
        <v>تولید بودجه ای</v>
      </c>
      <c r="AM23" s="55">
        <f>AE15</f>
        <v>110</v>
      </c>
      <c r="AN23" s="55">
        <f>AE16</f>
        <v>50</v>
      </c>
      <c r="AO23" s="55">
        <f>AE17</f>
        <v>41</v>
      </c>
      <c r="AP23" s="55">
        <f>AE18</f>
        <v>30</v>
      </c>
      <c r="AQ23" s="55">
        <f>AE19</f>
        <v>40</v>
      </c>
      <c r="AR23" s="160"/>
      <c r="AT23" s="159"/>
      <c r="AU23" s="56"/>
      <c r="AV23" s="254" t="s">
        <v>332</v>
      </c>
      <c r="AW23" s="255">
        <v>60000000</v>
      </c>
      <c r="AX23" s="56"/>
      <c r="AY23" s="159"/>
      <c r="AZ23" s="56"/>
      <c r="BA23" s="56"/>
      <c r="BB23" s="56"/>
      <c r="BC23" s="160"/>
      <c r="BD23" s="56"/>
      <c r="BE23" s="686" t="s">
        <v>434</v>
      </c>
      <c r="BF23" s="610"/>
      <c r="BG23" s="340">
        <f>BG10-BG22</f>
        <v>8120000</v>
      </c>
      <c r="BH23" s="340">
        <f>BH10-BH22</f>
        <v>1940000</v>
      </c>
      <c r="BI23" s="340">
        <f>BI10-BI22</f>
        <v>-5550000</v>
      </c>
      <c r="BJ23" s="160"/>
    </row>
    <row r="24" spans="2:62" ht="13.5" thickTop="1">
      <c r="B24" s="174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D24" s="159"/>
      <c r="AE24" s="35">
        <v>50</v>
      </c>
      <c r="AF24" s="267">
        <v>200</v>
      </c>
      <c r="AG24" s="35">
        <v>17000</v>
      </c>
      <c r="AH24" s="35">
        <v>23000</v>
      </c>
      <c r="AI24" s="56"/>
      <c r="AJ24" s="56"/>
      <c r="AK24" s="35" t="str">
        <f>AE9</f>
        <v>الف</v>
      </c>
      <c r="AL24" s="35">
        <f>AN20</f>
        <v>22000</v>
      </c>
      <c r="AM24" s="35">
        <f>$J$68*AG15</f>
        <v>0</v>
      </c>
      <c r="AN24" s="35">
        <f>$J$68*AG16</f>
        <v>0</v>
      </c>
      <c r="AO24" s="35">
        <f>$J$68*AG17</f>
        <v>0</v>
      </c>
      <c r="AP24" s="35">
        <f>$J$68*AJ15</f>
        <v>0</v>
      </c>
      <c r="AQ24" s="35">
        <f>$J$68*AI15</f>
        <v>0</v>
      </c>
      <c r="AR24" s="160"/>
      <c r="AT24" s="159"/>
      <c r="AU24" s="56"/>
      <c r="AV24" s="256" t="s">
        <v>333</v>
      </c>
      <c r="AW24" s="257">
        <v>80000000</v>
      </c>
      <c r="AX24" s="56"/>
      <c r="AY24" s="174"/>
      <c r="AZ24" s="157"/>
      <c r="BA24" s="157">
        <f>BB24*BC24</f>
        <v>7200000</v>
      </c>
      <c r="BB24" s="157">
        <v>0.45</v>
      </c>
      <c r="BC24" s="158">
        <f>AW10/AW25*BA22</f>
        <v>16000000</v>
      </c>
      <c r="BD24" s="56"/>
      <c r="BE24" s="574"/>
      <c r="BF24" s="574"/>
      <c r="BG24" s="56"/>
      <c r="BH24" s="56"/>
      <c r="BI24" s="56"/>
      <c r="BJ24" s="160"/>
    </row>
    <row r="25" spans="2:62" ht="13.5" thickBot="1">
      <c r="B25" s="159"/>
      <c r="C25" s="658" t="s">
        <v>311</v>
      </c>
      <c r="D25" s="659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160"/>
      <c r="AD25" s="159"/>
      <c r="AE25" s="35">
        <v>41</v>
      </c>
      <c r="AF25" s="267">
        <v>250</v>
      </c>
      <c r="AG25" s="35">
        <v>10000</v>
      </c>
      <c r="AH25" s="35">
        <v>15000</v>
      </c>
      <c r="AI25" s="56"/>
      <c r="AJ25" s="56"/>
      <c r="AK25" s="35" t="str">
        <f>AE10</f>
        <v>ب </v>
      </c>
      <c r="AL25" s="35">
        <f>AO20</f>
        <v>50000</v>
      </c>
      <c r="AM25" s="56"/>
      <c r="AN25" s="35">
        <f>$J$69*AH16</f>
        <v>0</v>
      </c>
      <c r="AO25" s="35">
        <f>$J$69*AH17</f>
        <v>0</v>
      </c>
      <c r="AP25" s="35">
        <f>$J$69*AH18</f>
        <v>0</v>
      </c>
      <c r="AQ25" s="35">
        <f>$J$69*AL15</f>
        <v>0</v>
      </c>
      <c r="AR25" s="160"/>
      <c r="AT25" s="159"/>
      <c r="AU25" s="56"/>
      <c r="AV25" s="258"/>
      <c r="AW25" s="259">
        <f>SUM(AW13:AW24)</f>
        <v>600000000</v>
      </c>
      <c r="AX25" s="56"/>
      <c r="AY25" s="159"/>
      <c r="AZ25" s="56">
        <f>SUM(BA24:BA25)</f>
        <v>11160000</v>
      </c>
      <c r="BA25" s="56">
        <f>BC25*BB25</f>
        <v>3960000.0000000005</v>
      </c>
      <c r="BB25" s="56">
        <v>0.55</v>
      </c>
      <c r="BC25" s="160">
        <f>AW13/$AW$25*$BA$22</f>
        <v>7200000</v>
      </c>
      <c r="BD25" s="56"/>
      <c r="BE25" s="574"/>
      <c r="BF25" s="574"/>
      <c r="BG25" s="56"/>
      <c r="BH25" s="56"/>
      <c r="BI25" s="56"/>
      <c r="BJ25" s="160"/>
    </row>
    <row r="26" spans="2:62" ht="13.5" thickTop="1">
      <c r="B26" s="159"/>
      <c r="C26" s="660"/>
      <c r="D26" s="66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160"/>
      <c r="AD26" s="159"/>
      <c r="AE26" s="35">
        <v>30</v>
      </c>
      <c r="AF26" s="267">
        <v>400</v>
      </c>
      <c r="AG26" s="35">
        <v>18000</v>
      </c>
      <c r="AH26" s="35">
        <v>18000</v>
      </c>
      <c r="AI26" s="56"/>
      <c r="AJ26" s="56"/>
      <c r="AK26" s="35" t="str">
        <f>AE11</f>
        <v>ج</v>
      </c>
      <c r="AL26" s="35">
        <f>AP20</f>
        <v>30000</v>
      </c>
      <c r="AM26" s="35">
        <f>AI15*$J$70</f>
        <v>0</v>
      </c>
      <c r="AN26" s="35">
        <f>AI16*$J$70</f>
        <v>0</v>
      </c>
      <c r="AO26" s="35">
        <f>AI17*$J$70</f>
        <v>0</v>
      </c>
      <c r="AP26" s="35">
        <f>AI18*$J$70</f>
        <v>0</v>
      </c>
      <c r="AQ26" s="35">
        <f>AI19*$J$70</f>
        <v>0</v>
      </c>
      <c r="AR26" s="160"/>
      <c r="AT26" s="159"/>
      <c r="AU26" s="56"/>
      <c r="AV26" s="56"/>
      <c r="AW26" s="56"/>
      <c r="AX26" s="56"/>
      <c r="AY26" s="159"/>
      <c r="AZ26" s="56"/>
      <c r="BA26" s="56">
        <f>BB26*BC25</f>
        <v>3240000</v>
      </c>
      <c r="BB26" s="56">
        <v>0.45</v>
      </c>
      <c r="BC26" s="160"/>
      <c r="BD26" s="56"/>
      <c r="BE26" s="56"/>
      <c r="BF26" s="56"/>
      <c r="BG26" s="56"/>
      <c r="BH26" s="56"/>
      <c r="BI26" s="56"/>
      <c r="BJ26" s="160"/>
    </row>
    <row r="27" spans="2:62" ht="13.5" thickBot="1">
      <c r="B27" s="15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160"/>
      <c r="AD27" s="159"/>
      <c r="AE27" s="271">
        <v>40</v>
      </c>
      <c r="AF27" s="274">
        <v>325</v>
      </c>
      <c r="AG27" s="35">
        <v>25000</v>
      </c>
      <c r="AH27" s="35">
        <v>30000</v>
      </c>
      <c r="AI27" s="56"/>
      <c r="AJ27" s="56"/>
      <c r="AK27" s="629" t="s">
        <v>372</v>
      </c>
      <c r="AL27" s="630"/>
      <c r="AM27" s="270">
        <f>SUM(AM24:AM26)</f>
        <v>0</v>
      </c>
      <c r="AN27" s="270">
        <f>SUM(AN24:AN26)</f>
        <v>0</v>
      </c>
      <c r="AO27" s="270">
        <f>SUM(AO24:AO26)</f>
        <v>0</v>
      </c>
      <c r="AP27" s="270">
        <f>SUM(AP24:AP26)</f>
        <v>0</v>
      </c>
      <c r="AQ27" s="270">
        <f>SUM(AQ24:AQ26)</f>
        <v>0</v>
      </c>
      <c r="AR27" s="160"/>
      <c r="AT27" s="159"/>
      <c r="AU27" s="56"/>
      <c r="AV27" s="56"/>
      <c r="AW27" s="56"/>
      <c r="AX27" s="56"/>
      <c r="AY27" s="159"/>
      <c r="AZ27" s="56">
        <f>SUM(BA26:BA27)</f>
        <v>7860000</v>
      </c>
      <c r="BA27" s="56">
        <f>BB25*BC27</f>
        <v>4620000</v>
      </c>
      <c r="BB27" s="56">
        <v>0.55</v>
      </c>
      <c r="BC27" s="160">
        <f>AW14/$AW$25*$BA$22</f>
        <v>8400000</v>
      </c>
      <c r="BD27" s="56"/>
      <c r="BE27" s="56"/>
      <c r="BF27" s="56"/>
      <c r="BG27" s="56"/>
      <c r="BH27" s="56"/>
      <c r="BI27" s="56"/>
      <c r="BJ27" s="160"/>
    </row>
    <row r="28" spans="2:62" ht="16.5" customHeight="1" thickTop="1">
      <c r="B28" s="159"/>
      <c r="C28" s="662" t="s">
        <v>288</v>
      </c>
      <c r="D28" s="662"/>
      <c r="E28" s="662"/>
      <c r="F28" s="662"/>
      <c r="G28" s="662"/>
      <c r="H28" s="228" t="s">
        <v>289</v>
      </c>
      <c r="I28" s="56"/>
      <c r="J28" s="239"/>
      <c r="K28" s="240"/>
      <c r="L28" s="240"/>
      <c r="M28" s="240"/>
      <c r="N28" s="240"/>
      <c r="O28" s="240"/>
      <c r="P28" s="241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160"/>
      <c r="AD28" s="159"/>
      <c r="AE28" s="56"/>
      <c r="AF28" s="56"/>
      <c r="AG28" s="56"/>
      <c r="AH28" s="56"/>
      <c r="AI28" s="56"/>
      <c r="AJ28" s="56"/>
      <c r="AK28" s="275"/>
      <c r="AL28" s="275"/>
      <c r="AM28" s="56"/>
      <c r="AN28" s="56"/>
      <c r="AO28" s="56"/>
      <c r="AP28" s="56"/>
      <c r="AQ28" s="56"/>
      <c r="AR28" s="160"/>
      <c r="AT28" s="159"/>
      <c r="AU28" s="56"/>
      <c r="AV28" s="56"/>
      <c r="AW28" s="56"/>
      <c r="AX28" s="56"/>
      <c r="AY28" s="159"/>
      <c r="AZ28" s="56"/>
      <c r="BA28" s="56">
        <f>BB28*BC27</f>
        <v>3780000</v>
      </c>
      <c r="BB28" s="56">
        <v>0.45</v>
      </c>
      <c r="BC28" s="160"/>
      <c r="BD28" s="56"/>
      <c r="BE28" s="56"/>
      <c r="BF28" s="56"/>
      <c r="BG28" s="56"/>
      <c r="BH28" s="56"/>
      <c r="BI28" s="56"/>
      <c r="BJ28" s="160"/>
    </row>
    <row r="29" spans="2:62" ht="18" customHeight="1">
      <c r="B29" s="159"/>
      <c r="C29" s="647" t="s">
        <v>290</v>
      </c>
      <c r="D29" s="648"/>
      <c r="E29" s="648"/>
      <c r="F29" s="648"/>
      <c r="G29" s="648"/>
      <c r="H29" s="230">
        <v>10000</v>
      </c>
      <c r="I29" s="56"/>
      <c r="J29" s="242"/>
      <c r="K29" s="651" t="s">
        <v>313</v>
      </c>
      <c r="L29" s="652"/>
      <c r="M29" s="652"/>
      <c r="N29" s="652"/>
      <c r="O29" s="653"/>
      <c r="P29" s="227"/>
      <c r="Q29" s="56"/>
      <c r="R29" s="56"/>
      <c r="S29" s="651" t="s">
        <v>320</v>
      </c>
      <c r="T29" s="652"/>
      <c r="U29" s="652"/>
      <c r="V29" s="652"/>
      <c r="W29" s="652"/>
      <c r="X29" s="652"/>
      <c r="Y29" s="652"/>
      <c r="Z29" s="652"/>
      <c r="AA29" s="665"/>
      <c r="AD29" s="159"/>
      <c r="AE29" s="55" t="s">
        <v>360</v>
      </c>
      <c r="AF29" s="55" t="s">
        <v>373</v>
      </c>
      <c r="AG29" s="55" t="s">
        <v>374</v>
      </c>
      <c r="AH29" s="56"/>
      <c r="AI29" s="56"/>
      <c r="AJ29" s="623" t="s">
        <v>375</v>
      </c>
      <c r="AK29" s="623"/>
      <c r="AL29" s="623"/>
      <c r="AM29" s="623"/>
      <c r="AN29" s="623"/>
      <c r="AO29" s="623"/>
      <c r="AP29" s="623"/>
      <c r="AQ29" s="623"/>
      <c r="AR29" s="160"/>
      <c r="AT29" s="159"/>
      <c r="AU29" s="56"/>
      <c r="AV29" s="56"/>
      <c r="AW29" s="56"/>
      <c r="AX29" s="56"/>
      <c r="AY29" s="159"/>
      <c r="AZ29" s="56">
        <f>SUM(BA28:BA29)</f>
        <v>10380000</v>
      </c>
      <c r="BA29" s="56">
        <f>BB29*BC29</f>
        <v>6600000.000000001</v>
      </c>
      <c r="BB29" s="56">
        <v>0.55</v>
      </c>
      <c r="BC29" s="160">
        <f>AW15/$AW$25*$BA$22</f>
        <v>12000000</v>
      </c>
      <c r="BD29" s="56"/>
      <c r="BE29" s="56"/>
      <c r="BF29" s="55"/>
      <c r="BG29" s="55" t="s">
        <v>104</v>
      </c>
      <c r="BH29" s="55" t="s">
        <v>432</v>
      </c>
      <c r="BI29" s="55" t="s">
        <v>431</v>
      </c>
      <c r="BJ29" s="160"/>
    </row>
    <row r="30" spans="2:62" ht="15.75" thickBot="1">
      <c r="B30" s="159"/>
      <c r="C30" s="649" t="s">
        <v>291</v>
      </c>
      <c r="D30" s="650"/>
      <c r="E30" s="650"/>
      <c r="F30" s="650"/>
      <c r="G30" s="650"/>
      <c r="H30" s="230">
        <v>40000</v>
      </c>
      <c r="I30" s="56"/>
      <c r="J30" s="242"/>
      <c r="K30" s="188"/>
      <c r="L30" s="182"/>
      <c r="M30" s="182" t="s">
        <v>314</v>
      </c>
      <c r="N30" s="182" t="s">
        <v>315</v>
      </c>
      <c r="O30" s="183" t="s">
        <v>316</v>
      </c>
      <c r="P30" s="227"/>
      <c r="Q30" s="56"/>
      <c r="R30" s="56"/>
      <c r="S30" s="189"/>
      <c r="T30" s="30"/>
      <c r="U30" s="50" t="s">
        <v>321</v>
      </c>
      <c r="V30" s="663" t="s">
        <v>322</v>
      </c>
      <c r="W30" s="664"/>
      <c r="X30" s="188"/>
      <c r="Y30" s="182"/>
      <c r="Z30" s="186" t="s">
        <v>321</v>
      </c>
      <c r="AA30" s="249" t="s">
        <v>322</v>
      </c>
      <c r="AD30" s="159"/>
      <c r="AE30" s="35" t="s">
        <v>266</v>
      </c>
      <c r="AF30" s="35">
        <v>4</v>
      </c>
      <c r="AG30" s="35">
        <v>400</v>
      </c>
      <c r="AH30" s="56"/>
      <c r="AI30" s="56"/>
      <c r="AJ30" s="623" t="s">
        <v>114</v>
      </c>
      <c r="AK30" s="623"/>
      <c r="AL30" s="623"/>
      <c r="AM30" s="55">
        <f>AM23</f>
        <v>110</v>
      </c>
      <c r="AN30" s="55">
        <f>AN23</f>
        <v>50</v>
      </c>
      <c r="AO30" s="55">
        <f>AO23</f>
        <v>41</v>
      </c>
      <c r="AP30" s="55">
        <f>AP23</f>
        <v>30</v>
      </c>
      <c r="AQ30" s="55">
        <f>AQ23</f>
        <v>40</v>
      </c>
      <c r="AR30" s="160"/>
      <c r="AT30" s="159"/>
      <c r="AU30" s="56"/>
      <c r="AV30" s="56"/>
      <c r="AW30" s="56"/>
      <c r="AX30" s="56"/>
      <c r="AY30" s="177"/>
      <c r="AZ30" s="178"/>
      <c r="BA30" s="178"/>
      <c r="BB30" s="178">
        <v>0.45</v>
      </c>
      <c r="BC30" s="179"/>
      <c r="BD30" s="56"/>
      <c r="BE30" s="56"/>
      <c r="BF30" s="35" t="str">
        <f>AV13</f>
        <v>فروردین</v>
      </c>
      <c r="BG30" s="35">
        <f>BI30*BH30</f>
        <v>140000</v>
      </c>
      <c r="BH30" s="332">
        <v>0.005</v>
      </c>
      <c r="BI30" s="35">
        <v>28000000</v>
      </c>
      <c r="BJ30" s="160"/>
    </row>
    <row r="31" spans="2:62" ht="15.75" thickBot="1">
      <c r="B31" s="159"/>
      <c r="C31" s="649" t="s">
        <v>292</v>
      </c>
      <c r="D31" s="650"/>
      <c r="E31" s="650"/>
      <c r="F31" s="650"/>
      <c r="G31" s="650"/>
      <c r="H31" s="231">
        <f>SUM(H29:H30)</f>
        <v>50000</v>
      </c>
      <c r="I31" s="56"/>
      <c r="J31" s="242"/>
      <c r="K31" s="189" t="s">
        <v>317</v>
      </c>
      <c r="L31" s="30"/>
      <c r="M31" s="30">
        <f>$H$32</f>
        <v>35000</v>
      </c>
      <c r="N31" s="30">
        <f>$H$32</f>
        <v>35000</v>
      </c>
      <c r="O31" s="184">
        <f>$H$32</f>
        <v>35000</v>
      </c>
      <c r="P31" s="227"/>
      <c r="Q31" s="56"/>
      <c r="R31" s="56"/>
      <c r="S31" s="189" t="str">
        <f>K32</f>
        <v>کاردرجریان ساخت اول دوره</v>
      </c>
      <c r="T31" s="30"/>
      <c r="U31" s="30">
        <f>H29</f>
        <v>10000</v>
      </c>
      <c r="V31" s="30"/>
      <c r="W31" s="184"/>
      <c r="X31" s="189" t="str">
        <f>K31</f>
        <v>محصول تکمیل شده </v>
      </c>
      <c r="Y31" s="30"/>
      <c r="Z31" s="30">
        <f>M31</f>
        <v>35000</v>
      </c>
      <c r="AA31" s="31">
        <f>(Z31-U31)*N51+W36+(H29*0.25)*(N43+N44)</f>
        <v>538000</v>
      </c>
      <c r="AD31" s="159"/>
      <c r="AE31" s="35" t="s">
        <v>267</v>
      </c>
      <c r="AF31" s="35">
        <v>5</v>
      </c>
      <c r="AG31" s="35">
        <v>300</v>
      </c>
      <c r="AH31" s="56"/>
      <c r="AI31" s="56"/>
      <c r="AJ31" s="628" t="str">
        <f>AK27</f>
        <v>مواد مورد نیاز برای تولید</v>
      </c>
      <c r="AK31" s="628"/>
      <c r="AL31" s="628"/>
      <c r="AM31" s="35">
        <f>AM27</f>
        <v>0</v>
      </c>
      <c r="AN31" s="35">
        <f>AN27</f>
        <v>0</v>
      </c>
      <c r="AO31" s="35">
        <f>AO27</f>
        <v>0</v>
      </c>
      <c r="AP31" s="35">
        <f>AP27</f>
        <v>0</v>
      </c>
      <c r="AQ31" s="35">
        <f>AQ27</f>
        <v>0</v>
      </c>
      <c r="AR31" s="160"/>
      <c r="AT31" s="159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35" t="str">
        <f>AV14</f>
        <v>اردیبهشت</v>
      </c>
      <c r="BG31" s="35">
        <f>BI31*BH31</f>
        <v>130000</v>
      </c>
      <c r="BH31" s="332">
        <v>0.005</v>
      </c>
      <c r="BI31" s="35">
        <f>BI30-2000000</f>
        <v>26000000</v>
      </c>
      <c r="BJ31" s="160"/>
    </row>
    <row r="32" spans="2:62" ht="15.75" thickTop="1">
      <c r="B32" s="159"/>
      <c r="C32" s="649" t="s">
        <v>293</v>
      </c>
      <c r="D32" s="650"/>
      <c r="E32" s="650"/>
      <c r="F32" s="650"/>
      <c r="G32" s="650"/>
      <c r="H32" s="230">
        <v>35000</v>
      </c>
      <c r="I32" s="56"/>
      <c r="J32" s="242"/>
      <c r="K32" s="189" t="s">
        <v>319</v>
      </c>
      <c r="L32" s="30"/>
      <c r="M32" s="50">
        <f>$H$29*100%*-1</f>
        <v>-10000</v>
      </c>
      <c r="N32" s="50">
        <f>$H$29*100%*-1</f>
        <v>-10000</v>
      </c>
      <c r="O32" s="185">
        <f>$H$29*0.75*-1</f>
        <v>-7500</v>
      </c>
      <c r="P32" s="227"/>
      <c r="Q32" s="56"/>
      <c r="R32" s="56"/>
      <c r="S32" s="189" t="str">
        <f>C39</f>
        <v>هزینه انتقالی از دایره قبل </v>
      </c>
      <c r="T32" s="30"/>
      <c r="U32" s="30"/>
      <c r="V32" s="30">
        <f>H39</f>
        <v>38000</v>
      </c>
      <c r="W32" s="184"/>
      <c r="X32" s="189"/>
      <c r="Y32" s="30"/>
      <c r="Z32" s="30"/>
      <c r="AA32" s="31"/>
      <c r="AD32" s="159"/>
      <c r="AE32" s="35" t="s">
        <v>268</v>
      </c>
      <c r="AF32" s="35">
        <v>5</v>
      </c>
      <c r="AG32" s="35">
        <v>420</v>
      </c>
      <c r="AH32" s="56"/>
      <c r="AI32" s="56"/>
      <c r="AJ32" s="628" t="str">
        <f>AK17</f>
        <v>تعداد موجودی های مورد نظر در 1383/12/29</v>
      </c>
      <c r="AK32" s="628"/>
      <c r="AL32" s="628"/>
      <c r="AM32" s="35">
        <f>AH23</f>
        <v>25000</v>
      </c>
      <c r="AN32" s="35">
        <f>AH24</f>
        <v>23000</v>
      </c>
      <c r="AO32" s="35">
        <f>AH25</f>
        <v>15000</v>
      </c>
      <c r="AP32" s="35">
        <f>AH26</f>
        <v>18000</v>
      </c>
      <c r="AQ32" s="35">
        <f>AH27</f>
        <v>30000</v>
      </c>
      <c r="AR32" s="160"/>
      <c r="AT32" s="159"/>
      <c r="AU32" s="56"/>
      <c r="AV32" s="56"/>
      <c r="AW32" s="56"/>
      <c r="AX32" s="56"/>
      <c r="AY32" s="575" t="s">
        <v>422</v>
      </c>
      <c r="AZ32" s="576"/>
      <c r="BA32" s="576"/>
      <c r="BB32" s="576"/>
      <c r="BC32" s="577"/>
      <c r="BD32" s="56"/>
      <c r="BE32" s="56"/>
      <c r="BF32" s="35" t="str">
        <f>AV15</f>
        <v>خرداد</v>
      </c>
      <c r="BG32" s="35">
        <f>BI32*BH32</f>
        <v>120000</v>
      </c>
      <c r="BH32" s="332">
        <v>0.005</v>
      </c>
      <c r="BI32" s="35">
        <f>BI31-2000000</f>
        <v>24000000</v>
      </c>
      <c r="BJ32" s="160"/>
    </row>
    <row r="33" spans="2:62" ht="15" customHeight="1" thickBot="1">
      <c r="B33" s="159"/>
      <c r="C33" s="649" t="s">
        <v>294</v>
      </c>
      <c r="D33" s="650"/>
      <c r="E33" s="650"/>
      <c r="F33" s="650"/>
      <c r="G33" s="650"/>
      <c r="H33" s="230">
        <v>5000</v>
      </c>
      <c r="I33" s="56"/>
      <c r="J33" s="242"/>
      <c r="K33" s="654" t="s">
        <v>59</v>
      </c>
      <c r="L33" s="655"/>
      <c r="M33" s="30">
        <f>SUM(M31:M32)</f>
        <v>25000</v>
      </c>
      <c r="N33" s="30">
        <f>SUM(N31:N32)</f>
        <v>25000</v>
      </c>
      <c r="O33" s="184">
        <f>SUM(O31:O32)</f>
        <v>27500</v>
      </c>
      <c r="P33" s="227"/>
      <c r="Q33" s="56"/>
      <c r="R33" s="56"/>
      <c r="S33" s="189" t="str">
        <f>C41</f>
        <v>مواد ( 100% )</v>
      </c>
      <c r="T33" s="30"/>
      <c r="U33" s="30"/>
      <c r="V33" s="30">
        <f>G41</f>
        <v>21500</v>
      </c>
      <c r="W33" s="184"/>
      <c r="X33" s="189" t="str">
        <f>K34</f>
        <v>کاردرجریان ساخت آخر دوره</v>
      </c>
      <c r="Y33" s="30"/>
      <c r="Z33" s="30">
        <f>H34</f>
        <v>10000</v>
      </c>
      <c r="AA33" s="31">
        <f>(M34*N41)+(N34*N42)+(O34*N43)+(O34*N44)+(N34*N49)</f>
        <v>105000</v>
      </c>
      <c r="AD33" s="159"/>
      <c r="AE33" s="56"/>
      <c r="AF33" s="56"/>
      <c r="AG33" s="56"/>
      <c r="AH33" s="56"/>
      <c r="AI33" s="56"/>
      <c r="AJ33" s="628" t="str">
        <f>AK18</f>
        <v>جمع</v>
      </c>
      <c r="AK33" s="628"/>
      <c r="AL33" s="628"/>
      <c r="AM33" s="35">
        <f>SUM(AM30:AM32)</f>
        <v>25110</v>
      </c>
      <c r="AN33" s="35">
        <f>SUM(AN30:AN32)</f>
        <v>23050</v>
      </c>
      <c r="AO33" s="35">
        <f>SUM(AO30:AO32)</f>
        <v>15041</v>
      </c>
      <c r="AP33" s="35">
        <f>SUM(AP30:AP32)</f>
        <v>18030</v>
      </c>
      <c r="AQ33" s="35">
        <f>SUM(AQ30:AQ32)</f>
        <v>30040</v>
      </c>
      <c r="AR33" s="160"/>
      <c r="AT33" s="159"/>
      <c r="AU33" s="56"/>
      <c r="AV33" s="56"/>
      <c r="AW33" s="56"/>
      <c r="AX33" s="56"/>
      <c r="AY33" s="572" t="s">
        <v>114</v>
      </c>
      <c r="AZ33" s="573"/>
      <c r="BA33" s="277" t="str">
        <f>AV13</f>
        <v>فروردین</v>
      </c>
      <c r="BB33" s="277" t="str">
        <f>AV14</f>
        <v>اردیبهشت</v>
      </c>
      <c r="BC33" s="327" t="str">
        <f>AV15</f>
        <v>خرداد</v>
      </c>
      <c r="BD33" s="56"/>
      <c r="BE33" s="56"/>
      <c r="BF33" s="258" t="s">
        <v>59</v>
      </c>
      <c r="BG33" s="333">
        <f>SUM(BG30:BG32)</f>
        <v>390000</v>
      </c>
      <c r="BH33" s="258"/>
      <c r="BI33" s="258"/>
      <c r="BJ33" s="160"/>
    </row>
    <row r="34" spans="2:62" ht="18.75" customHeight="1" thickTop="1">
      <c r="B34" s="159"/>
      <c r="C34" s="647" t="s">
        <v>295</v>
      </c>
      <c r="D34" s="648"/>
      <c r="E34" s="648"/>
      <c r="F34" s="648"/>
      <c r="G34" s="648"/>
      <c r="H34" s="230">
        <v>10000</v>
      </c>
      <c r="I34" s="56"/>
      <c r="J34" s="242"/>
      <c r="K34" s="189" t="s">
        <v>318</v>
      </c>
      <c r="L34" s="30"/>
      <c r="M34" s="30">
        <f>$H$34*100%</f>
        <v>10000</v>
      </c>
      <c r="N34" s="30">
        <f>$H$34*100%</f>
        <v>10000</v>
      </c>
      <c r="O34" s="184">
        <f>$H$34*0.5</f>
        <v>5000</v>
      </c>
      <c r="P34" s="227"/>
      <c r="Q34" s="56"/>
      <c r="R34" s="56"/>
      <c r="S34" s="189" t="str">
        <f>C42</f>
        <v>دستمزد ( 75/0)</v>
      </c>
      <c r="T34" s="30"/>
      <c r="U34" s="30"/>
      <c r="V34" s="30">
        <f>G42</f>
        <v>39000</v>
      </c>
      <c r="W34" s="184"/>
      <c r="X34" s="189"/>
      <c r="Y34" s="30"/>
      <c r="Z34" s="30"/>
      <c r="AA34" s="31"/>
      <c r="AD34" s="159"/>
      <c r="AE34" s="56"/>
      <c r="AF34" s="56"/>
      <c r="AG34" s="56"/>
      <c r="AH34" s="56"/>
      <c r="AI34" s="56"/>
      <c r="AJ34" s="628" t="str">
        <f>AK19</f>
        <v>تعداد موجودی های مورد نظر در 1383/1/1</v>
      </c>
      <c r="AK34" s="628"/>
      <c r="AL34" s="628"/>
      <c r="AM34" s="35">
        <f>AG23</f>
        <v>21000</v>
      </c>
      <c r="AN34" s="35">
        <f>AG24</f>
        <v>17000</v>
      </c>
      <c r="AO34" s="35">
        <f>AG25</f>
        <v>10000</v>
      </c>
      <c r="AP34" s="35">
        <f>AG26</f>
        <v>18000</v>
      </c>
      <c r="AQ34" s="35">
        <f>AG27</f>
        <v>25000</v>
      </c>
      <c r="AR34" s="160"/>
      <c r="AT34" s="159"/>
      <c r="AU34" s="56"/>
      <c r="AV34" s="56"/>
      <c r="AW34" s="56"/>
      <c r="AX34" s="56"/>
      <c r="AY34" s="570">
        <v>0.7</v>
      </c>
      <c r="AZ34" s="571"/>
      <c r="BA34" s="328">
        <f>$AY$34*AW13*10%</f>
        <v>2520000</v>
      </c>
      <c r="BB34" s="328">
        <f>$AY$34*AW14*10%</f>
        <v>2940000</v>
      </c>
      <c r="BC34" s="329">
        <f>$AY$34*AW15*10%</f>
        <v>4200000</v>
      </c>
      <c r="BD34" s="56"/>
      <c r="BE34" s="56"/>
      <c r="BF34" s="56"/>
      <c r="BG34" s="56"/>
      <c r="BH34" s="56"/>
      <c r="BI34" s="56"/>
      <c r="BJ34" s="160"/>
    </row>
    <row r="35" spans="2:62" ht="15.75" thickBot="1">
      <c r="B35" s="159"/>
      <c r="C35" s="645" t="s">
        <v>296</v>
      </c>
      <c r="D35" s="646"/>
      <c r="E35" s="646"/>
      <c r="F35" s="646"/>
      <c r="G35" s="646"/>
      <c r="H35" s="231">
        <f>SUM(H32:H34)</f>
        <v>50000</v>
      </c>
      <c r="I35" s="56"/>
      <c r="J35" s="242"/>
      <c r="K35" s="654" t="s">
        <v>294</v>
      </c>
      <c r="L35" s="655"/>
      <c r="M35" s="30">
        <f>$H$33*100%</f>
        <v>5000</v>
      </c>
      <c r="N35" s="30">
        <f>$H$33*100%</f>
        <v>5000</v>
      </c>
      <c r="O35" s="184">
        <f>$H$33*0</f>
        <v>0</v>
      </c>
      <c r="P35" s="227"/>
      <c r="Q35" s="56"/>
      <c r="R35" s="56"/>
      <c r="S35" s="189" t="str">
        <f>C43</f>
        <v>سربار (75/0) </v>
      </c>
      <c r="T35" s="30"/>
      <c r="U35" s="30"/>
      <c r="V35" s="50">
        <f>G43</f>
        <v>42000</v>
      </c>
      <c r="W35" s="184"/>
      <c r="X35" s="189"/>
      <c r="Y35" s="30"/>
      <c r="Z35" s="30"/>
      <c r="AA35" s="31"/>
      <c r="AD35" s="159"/>
      <c r="AE35" s="56"/>
      <c r="AF35" s="56"/>
      <c r="AG35" s="56"/>
      <c r="AH35" s="56"/>
      <c r="AI35" s="56"/>
      <c r="AJ35" s="628" t="s">
        <v>376</v>
      </c>
      <c r="AK35" s="628"/>
      <c r="AL35" s="628"/>
      <c r="AM35" s="35">
        <f>AM33-AM34</f>
        <v>4110</v>
      </c>
      <c r="AN35" s="35">
        <f>AN33-AN34</f>
        <v>6050</v>
      </c>
      <c r="AO35" s="35">
        <f>AO33-AO34</f>
        <v>5041</v>
      </c>
      <c r="AP35" s="35">
        <f>AP33-AP34</f>
        <v>30</v>
      </c>
      <c r="AQ35" s="35">
        <f>AQ33-AQ34</f>
        <v>5040</v>
      </c>
      <c r="AR35" s="160"/>
      <c r="AT35" s="159"/>
      <c r="AU35" s="56"/>
      <c r="AV35" s="56"/>
      <c r="AW35" s="56"/>
      <c r="AX35" s="56"/>
      <c r="AY35" s="570">
        <v>0.3</v>
      </c>
      <c r="AZ35" s="571"/>
      <c r="BA35" s="328">
        <f>$AY$35*AW10*10%</f>
        <v>2400000</v>
      </c>
      <c r="BB35" s="328">
        <f>$AY$35*AW13*10%</f>
        <v>1080000</v>
      </c>
      <c r="BC35" s="329">
        <f>$AY$35*AW14*10%</f>
        <v>1260000</v>
      </c>
      <c r="BD35" s="56"/>
      <c r="BE35" s="56"/>
      <c r="BF35" s="56"/>
      <c r="BG35" s="56"/>
      <c r="BH35" s="56"/>
      <c r="BI35" s="56"/>
      <c r="BJ35" s="160"/>
    </row>
    <row r="36" spans="2:62" ht="16.5" thickTop="1">
      <c r="B36" s="159"/>
      <c r="C36" s="669" t="s">
        <v>297</v>
      </c>
      <c r="D36" s="670"/>
      <c r="E36" s="670"/>
      <c r="F36" s="670"/>
      <c r="G36" s="670"/>
      <c r="H36" s="230"/>
      <c r="I36" s="56"/>
      <c r="J36" s="242"/>
      <c r="K36" s="656" t="s">
        <v>59</v>
      </c>
      <c r="L36" s="657"/>
      <c r="M36" s="186">
        <f>SUM(M33:M35)</f>
        <v>40000</v>
      </c>
      <c r="N36" s="186">
        <f>SUM(N33:N35)</f>
        <v>40000</v>
      </c>
      <c r="O36" s="187">
        <f>SUM(O33:O35)</f>
        <v>32500</v>
      </c>
      <c r="P36" s="227"/>
      <c r="Q36" s="56"/>
      <c r="R36" s="56"/>
      <c r="S36" s="189"/>
      <c r="T36" s="30"/>
      <c r="U36" s="30"/>
      <c r="V36" s="30"/>
      <c r="W36" s="184">
        <f>SUM(V32:V35)</f>
        <v>140500</v>
      </c>
      <c r="X36" s="189" t="str">
        <f>K35</f>
        <v>ضایعات</v>
      </c>
      <c r="Y36" s="30"/>
      <c r="Z36" s="30">
        <f>H33</f>
        <v>5000</v>
      </c>
      <c r="AA36" s="31"/>
      <c r="AD36" s="159"/>
      <c r="AE36" s="56"/>
      <c r="AF36" s="56"/>
      <c r="AG36" s="56"/>
      <c r="AH36" s="56"/>
      <c r="AI36" s="56"/>
      <c r="AJ36" s="624" t="str">
        <f>AF22</f>
        <v>قیمت</v>
      </c>
      <c r="AK36" s="625"/>
      <c r="AL36" s="626"/>
      <c r="AM36" s="35">
        <f>AF23</f>
        <v>300</v>
      </c>
      <c r="AN36" s="35">
        <f>AF24</f>
        <v>200</v>
      </c>
      <c r="AO36" s="35">
        <f>AF25</f>
        <v>250</v>
      </c>
      <c r="AP36" s="35">
        <f>AF26</f>
        <v>400</v>
      </c>
      <c r="AQ36" s="35">
        <f>AF27</f>
        <v>325</v>
      </c>
      <c r="AR36" s="160"/>
      <c r="AT36" s="159"/>
      <c r="AU36" s="56"/>
      <c r="AV36" s="56"/>
      <c r="AW36" s="56"/>
      <c r="AX36" s="56"/>
      <c r="AY36" s="572" t="s">
        <v>59</v>
      </c>
      <c r="AZ36" s="573"/>
      <c r="BA36" s="330">
        <f>SUM(BA34:BA35)</f>
        <v>4920000</v>
      </c>
      <c r="BB36" s="330">
        <f>SUM(BB34:BB35)</f>
        <v>4020000</v>
      </c>
      <c r="BC36" s="331">
        <f>SUM(BC34:BC35)</f>
        <v>5460000</v>
      </c>
      <c r="BD36" s="56"/>
      <c r="BE36" s="56"/>
      <c r="BF36" s="56"/>
      <c r="BG36" s="56"/>
      <c r="BH36" s="56"/>
      <c r="BI36" s="56"/>
      <c r="BJ36" s="160"/>
    </row>
    <row r="37" spans="2:62" ht="15">
      <c r="B37" s="159"/>
      <c r="C37" s="647"/>
      <c r="D37" s="648"/>
      <c r="E37" s="648"/>
      <c r="F37" s="648"/>
      <c r="G37" s="233" t="s">
        <v>298</v>
      </c>
      <c r="H37" s="230" t="s">
        <v>298</v>
      </c>
      <c r="I37" s="56"/>
      <c r="J37" s="243"/>
      <c r="K37" s="226"/>
      <c r="L37" s="226"/>
      <c r="M37" s="226"/>
      <c r="N37" s="226"/>
      <c r="O37" s="226"/>
      <c r="P37" s="244"/>
      <c r="Q37" s="56"/>
      <c r="R37" s="56"/>
      <c r="S37" s="189" t="str">
        <f>C30</f>
        <v>انتقال به دایره تکمیل طی ماه </v>
      </c>
      <c r="T37" s="30"/>
      <c r="U37" s="30">
        <f>H30</f>
        <v>40000</v>
      </c>
      <c r="V37" s="30">
        <f>H46</f>
        <v>140000</v>
      </c>
      <c r="W37" s="184"/>
      <c r="X37" s="189"/>
      <c r="Y37" s="30"/>
      <c r="Z37" s="30"/>
      <c r="AA37" s="31"/>
      <c r="AD37" s="159"/>
      <c r="AE37" s="56"/>
      <c r="AF37" s="56"/>
      <c r="AG37" s="56"/>
      <c r="AH37" s="56"/>
      <c r="AI37" s="56"/>
      <c r="AJ37" s="624" t="s">
        <v>377</v>
      </c>
      <c r="AK37" s="625"/>
      <c r="AL37" s="626"/>
      <c r="AM37" s="35">
        <f>AM35*AM36</f>
        <v>1233000</v>
      </c>
      <c r="AN37" s="35">
        <f>AN35*AN36</f>
        <v>1210000</v>
      </c>
      <c r="AO37" s="35">
        <f>AO35*AO36</f>
        <v>1260250</v>
      </c>
      <c r="AP37" s="35">
        <f>AP35*AP36</f>
        <v>12000</v>
      </c>
      <c r="AQ37" s="35">
        <f>AQ35*AQ36</f>
        <v>1638000</v>
      </c>
      <c r="AR37" s="160"/>
      <c r="AT37" s="159"/>
      <c r="AU37" s="56"/>
      <c r="AV37" s="56"/>
      <c r="AW37" s="56"/>
      <c r="AX37" s="56"/>
      <c r="AY37" s="159"/>
      <c r="AZ37" s="56"/>
      <c r="BA37" s="56"/>
      <c r="BB37" s="56"/>
      <c r="BC37" s="160"/>
      <c r="BD37" s="56"/>
      <c r="BE37" s="56"/>
      <c r="BF37" s="56"/>
      <c r="BG37" s="56"/>
      <c r="BH37" s="56"/>
      <c r="BI37" s="56"/>
      <c r="BJ37" s="160"/>
    </row>
    <row r="38" spans="2:62" ht="15.75" thickBot="1">
      <c r="B38" s="159"/>
      <c r="C38" s="649" t="s">
        <v>299</v>
      </c>
      <c r="D38" s="650"/>
      <c r="E38" s="650"/>
      <c r="F38" s="650"/>
      <c r="G38" s="233"/>
      <c r="H38" s="230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189" t="str">
        <f>C48</f>
        <v>مواد </v>
      </c>
      <c r="T38" s="30"/>
      <c r="U38" s="30"/>
      <c r="V38" s="30">
        <f>G48</f>
        <v>70000</v>
      </c>
      <c r="W38" s="184"/>
      <c r="X38" s="189"/>
      <c r="Y38" s="30"/>
      <c r="Z38" s="30"/>
      <c r="AA38" s="31"/>
      <c r="AD38" s="159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160"/>
      <c r="AT38" s="159"/>
      <c r="AU38" s="56"/>
      <c r="AV38" s="56"/>
      <c r="AW38" s="56"/>
      <c r="AX38" s="56"/>
      <c r="AY38" s="177"/>
      <c r="AZ38" s="178"/>
      <c r="BA38" s="178"/>
      <c r="BB38" s="178"/>
      <c r="BC38" s="179"/>
      <c r="BD38" s="56"/>
      <c r="BE38" s="56"/>
      <c r="BF38" s="56"/>
      <c r="BG38" s="56"/>
      <c r="BH38" s="56"/>
      <c r="BI38" s="56"/>
      <c r="BJ38" s="160"/>
    </row>
    <row r="39" spans="2:62" ht="15.75" thickBot="1">
      <c r="B39" s="159"/>
      <c r="C39" s="647" t="s">
        <v>300</v>
      </c>
      <c r="D39" s="648"/>
      <c r="E39" s="648"/>
      <c r="F39" s="648"/>
      <c r="G39" s="648"/>
      <c r="H39" s="230">
        <v>38000</v>
      </c>
      <c r="I39" s="56"/>
      <c r="J39" s="239"/>
      <c r="K39" s="240"/>
      <c r="L39" s="240"/>
      <c r="M39" s="240"/>
      <c r="N39" s="240"/>
      <c r="O39" s="240"/>
      <c r="P39" s="241"/>
      <c r="Q39" s="56"/>
      <c r="R39" s="56"/>
      <c r="S39" s="189" t="str">
        <f>C49</f>
        <v>د ستمزد </v>
      </c>
      <c r="T39" s="30"/>
      <c r="U39" s="30"/>
      <c r="V39" s="30">
        <f>G49</f>
        <v>162500</v>
      </c>
      <c r="W39" s="184"/>
      <c r="X39" s="189"/>
      <c r="Y39" s="30"/>
      <c r="Z39" s="30"/>
      <c r="AA39" s="31"/>
      <c r="AD39" s="159"/>
      <c r="AE39" s="56"/>
      <c r="AF39" s="56"/>
      <c r="AG39" s="56"/>
      <c r="AH39" s="56"/>
      <c r="AI39" s="56"/>
      <c r="AJ39" s="623" t="s">
        <v>378</v>
      </c>
      <c r="AK39" s="623"/>
      <c r="AL39" s="623"/>
      <c r="AM39" s="623"/>
      <c r="AN39" s="623"/>
      <c r="AO39" s="623"/>
      <c r="AP39" s="623"/>
      <c r="AQ39" s="623"/>
      <c r="AR39" s="160"/>
      <c r="AT39" s="177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9"/>
    </row>
    <row r="40" spans="2:44" ht="15.75" thickBot="1">
      <c r="B40" s="159"/>
      <c r="C40" s="649" t="s">
        <v>301</v>
      </c>
      <c r="D40" s="650"/>
      <c r="E40" s="650"/>
      <c r="F40" s="650"/>
      <c r="G40" s="650"/>
      <c r="H40" s="230"/>
      <c r="I40" s="56"/>
      <c r="J40" s="242"/>
      <c r="K40" s="666" t="s">
        <v>323</v>
      </c>
      <c r="L40" s="667"/>
      <c r="M40" s="667"/>
      <c r="N40" s="667"/>
      <c r="O40" s="668"/>
      <c r="P40" s="227"/>
      <c r="Q40" s="56"/>
      <c r="R40" s="56"/>
      <c r="S40" s="189" t="str">
        <f>C50</f>
        <v>سربار</v>
      </c>
      <c r="T40" s="30"/>
      <c r="U40" s="30"/>
      <c r="V40" s="50">
        <f>G50</f>
        <v>130000</v>
      </c>
      <c r="W40" s="184"/>
      <c r="X40" s="189"/>
      <c r="Y40" s="30"/>
      <c r="Z40" s="30"/>
      <c r="AA40" s="31"/>
      <c r="AD40" s="159"/>
      <c r="AE40" s="277"/>
      <c r="AF40" s="56"/>
      <c r="AG40" s="56"/>
      <c r="AH40" s="56"/>
      <c r="AI40" s="56"/>
      <c r="AJ40" s="627" t="str">
        <f>AE7</f>
        <v>محصول</v>
      </c>
      <c r="AK40" s="627"/>
      <c r="AL40" s="627"/>
      <c r="AM40" s="252" t="str">
        <f>AL23</f>
        <v>تولید بودجه ای</v>
      </c>
      <c r="AN40" s="252" t="str">
        <f>AF29</f>
        <v>ساعت</v>
      </c>
      <c r="AO40" s="252" t="s">
        <v>379</v>
      </c>
      <c r="AP40" s="252" t="str">
        <f>AG29</f>
        <v>نرخ</v>
      </c>
      <c r="AQ40" s="252" t="s">
        <v>322</v>
      </c>
      <c r="AR40" s="160"/>
    </row>
    <row r="41" spans="2:62" ht="15">
      <c r="B41" s="159"/>
      <c r="C41" s="647" t="s">
        <v>302</v>
      </c>
      <c r="D41" s="648"/>
      <c r="E41" s="648"/>
      <c r="F41" s="648"/>
      <c r="G41" s="233">
        <v>21500</v>
      </c>
      <c r="H41" s="230"/>
      <c r="I41" s="56"/>
      <c r="J41" s="242"/>
      <c r="K41" s="188" t="str">
        <f>C39</f>
        <v>هزینه انتقالی از دایره قبل </v>
      </c>
      <c r="L41" s="182"/>
      <c r="M41" s="182"/>
      <c r="N41" s="182">
        <f>V37/M36</f>
        <v>3.5</v>
      </c>
      <c r="O41" s="183"/>
      <c r="P41" s="227"/>
      <c r="Q41" s="56"/>
      <c r="R41" s="56"/>
      <c r="S41" s="189"/>
      <c r="T41" s="30"/>
      <c r="U41" s="30"/>
      <c r="V41" s="30"/>
      <c r="W41" s="184">
        <f>SUM(V37:V40)</f>
        <v>502500</v>
      </c>
      <c r="X41" s="189"/>
      <c r="Y41" s="30"/>
      <c r="Z41" s="30"/>
      <c r="AA41" s="31"/>
      <c r="AD41" s="159"/>
      <c r="AE41" s="56"/>
      <c r="AF41" s="56"/>
      <c r="AG41" s="56"/>
      <c r="AH41" s="56"/>
      <c r="AI41" s="56"/>
      <c r="AJ41" s="619" t="str">
        <f>AE9</f>
        <v>الف</v>
      </c>
      <c r="AK41" s="619"/>
      <c r="AL41" s="619"/>
      <c r="AM41" s="225">
        <f>AL24</f>
        <v>22000</v>
      </c>
      <c r="AN41" s="225">
        <f>AF30</f>
        <v>4</v>
      </c>
      <c r="AO41" s="225">
        <f>AM41*AN41</f>
        <v>88000</v>
      </c>
      <c r="AP41" s="225">
        <f>AG30</f>
        <v>400</v>
      </c>
      <c r="AQ41" s="225">
        <f>AO41*AP41</f>
        <v>35200000</v>
      </c>
      <c r="AR41" s="160"/>
      <c r="AT41" s="174"/>
      <c r="AU41" s="157"/>
      <c r="AV41" s="679" t="s">
        <v>435</v>
      </c>
      <c r="AW41" s="679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8"/>
    </row>
    <row r="42" spans="2:62" ht="15.75" thickBot="1">
      <c r="B42" s="159"/>
      <c r="C42" s="647" t="s">
        <v>303</v>
      </c>
      <c r="D42" s="648"/>
      <c r="E42" s="648"/>
      <c r="F42" s="648"/>
      <c r="G42" s="233">
        <v>39000</v>
      </c>
      <c r="H42" s="230"/>
      <c r="I42" s="56"/>
      <c r="J42" s="242"/>
      <c r="K42" s="189" t="str">
        <f>C48</f>
        <v>مواد </v>
      </c>
      <c r="L42" s="30"/>
      <c r="M42" s="30"/>
      <c r="N42" s="30">
        <f>V38/N36</f>
        <v>1.75</v>
      </c>
      <c r="O42" s="184"/>
      <c r="P42" s="227"/>
      <c r="Q42" s="56"/>
      <c r="R42" s="56"/>
      <c r="S42" s="192" t="s">
        <v>59</v>
      </c>
      <c r="T42" s="50"/>
      <c r="U42" s="50">
        <f>SUM(U31:U41)</f>
        <v>50000</v>
      </c>
      <c r="V42" s="50"/>
      <c r="W42" s="245">
        <f>SUM(W41,W36)</f>
        <v>643000</v>
      </c>
      <c r="X42" s="192"/>
      <c r="Y42" s="50"/>
      <c r="Z42" s="50"/>
      <c r="AA42" s="250">
        <f>SUM(AA31:AA41)</f>
        <v>643000</v>
      </c>
      <c r="AD42" s="159"/>
      <c r="AE42" s="56"/>
      <c r="AF42" s="56"/>
      <c r="AG42" s="56"/>
      <c r="AH42" s="56"/>
      <c r="AI42" s="56"/>
      <c r="AJ42" s="619" t="str">
        <f>AE10</f>
        <v>ب </v>
      </c>
      <c r="AK42" s="619"/>
      <c r="AL42" s="619"/>
      <c r="AM42" s="225">
        <f>AL25</f>
        <v>50000</v>
      </c>
      <c r="AN42" s="225">
        <f>AF31</f>
        <v>5</v>
      </c>
      <c r="AO42" s="225">
        <f>AM42*AN42</f>
        <v>250000</v>
      </c>
      <c r="AP42" s="225">
        <f>AG31</f>
        <v>300</v>
      </c>
      <c r="AQ42" s="225">
        <f>AO42*AP42</f>
        <v>75000000</v>
      </c>
      <c r="AR42" s="160"/>
      <c r="AT42" s="159"/>
      <c r="AU42" s="56"/>
      <c r="AV42" s="620"/>
      <c r="AW42" s="620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160"/>
    </row>
    <row r="43" spans="2:62" ht="15.75" thickTop="1">
      <c r="B43" s="159"/>
      <c r="C43" s="647" t="s">
        <v>304</v>
      </c>
      <c r="D43" s="648"/>
      <c r="E43" s="648"/>
      <c r="F43" s="648"/>
      <c r="G43" s="234">
        <v>42000</v>
      </c>
      <c r="H43" s="230"/>
      <c r="I43" s="56"/>
      <c r="J43" s="242"/>
      <c r="K43" s="189" t="str">
        <f>C49</f>
        <v>د ستمزد </v>
      </c>
      <c r="L43" s="30"/>
      <c r="M43" s="30"/>
      <c r="N43" s="30">
        <f>V39/O36</f>
        <v>5</v>
      </c>
      <c r="O43" s="184"/>
      <c r="P43" s="227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160"/>
      <c r="AD43" s="159"/>
      <c r="AE43" s="56"/>
      <c r="AF43" s="56"/>
      <c r="AG43" s="56"/>
      <c r="AH43" s="56"/>
      <c r="AI43" s="56"/>
      <c r="AJ43" s="619" t="str">
        <f>AE11</f>
        <v>ج</v>
      </c>
      <c r="AK43" s="619"/>
      <c r="AL43" s="619"/>
      <c r="AM43" s="225">
        <f>AL26</f>
        <v>30000</v>
      </c>
      <c r="AN43" s="225">
        <f>AF32</f>
        <v>5</v>
      </c>
      <c r="AO43" s="225">
        <f>AM43*AN43</f>
        <v>150000</v>
      </c>
      <c r="AP43" s="225">
        <f>AG32</f>
        <v>420</v>
      </c>
      <c r="AQ43" s="225">
        <f>AO43*AP43</f>
        <v>63000000</v>
      </c>
      <c r="AR43" s="160"/>
      <c r="AT43" s="159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160"/>
    </row>
    <row r="44" spans="2:62" ht="15">
      <c r="B44" s="159"/>
      <c r="C44" s="647"/>
      <c r="D44" s="648"/>
      <c r="E44" s="648"/>
      <c r="F44" s="648"/>
      <c r="G44" s="30"/>
      <c r="H44" s="235">
        <f>SUM(G41:G43)</f>
        <v>102500</v>
      </c>
      <c r="I44" s="56"/>
      <c r="J44" s="242"/>
      <c r="K44" s="189" t="str">
        <f>C50</f>
        <v>سربار</v>
      </c>
      <c r="L44" s="30"/>
      <c r="M44" s="30"/>
      <c r="N44" s="50">
        <f>V40/O36</f>
        <v>4</v>
      </c>
      <c r="O44" s="184"/>
      <c r="P44" s="227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160"/>
      <c r="AD44" s="159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160"/>
      <c r="AT44" s="159"/>
      <c r="AU44" s="56"/>
      <c r="AV44" s="689" t="s">
        <v>519</v>
      </c>
      <c r="AW44" s="689"/>
      <c r="AX44" s="689" t="s">
        <v>520</v>
      </c>
      <c r="AY44" s="689" t="s">
        <v>521</v>
      </c>
      <c r="AZ44" s="689" t="s">
        <v>522</v>
      </c>
      <c r="BA44" s="56"/>
      <c r="BB44" s="690" t="s">
        <v>519</v>
      </c>
      <c r="BC44" s="690"/>
      <c r="BD44" s="688" t="s">
        <v>530</v>
      </c>
      <c r="BE44" s="688" t="s">
        <v>531</v>
      </c>
      <c r="BF44" s="56"/>
      <c r="BG44" s="56"/>
      <c r="BH44" s="56"/>
      <c r="BI44" s="56"/>
      <c r="BJ44" s="160"/>
    </row>
    <row r="45" spans="2:62" ht="15">
      <c r="B45" s="159"/>
      <c r="C45" s="648" t="s">
        <v>59</v>
      </c>
      <c r="D45" s="648"/>
      <c r="E45" s="648"/>
      <c r="F45" s="648"/>
      <c r="G45" s="648"/>
      <c r="H45" s="236">
        <f>SUM(H39:H44)</f>
        <v>140500</v>
      </c>
      <c r="I45" s="56"/>
      <c r="J45" s="242"/>
      <c r="K45" s="189"/>
      <c r="L45" s="30"/>
      <c r="M45" s="30"/>
      <c r="N45" s="30">
        <f>SUM(N41:N44)</f>
        <v>14.25</v>
      </c>
      <c r="O45" s="184"/>
      <c r="P45" s="227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160"/>
      <c r="AD45" s="159"/>
      <c r="AE45" s="55"/>
      <c r="AF45" s="55" t="str">
        <f>AN46</f>
        <v>الف</v>
      </c>
      <c r="AG45" s="55" t="str">
        <f>AO46</f>
        <v>ب </v>
      </c>
      <c r="AH45" s="55" t="str">
        <f>AP46</f>
        <v>ج</v>
      </c>
      <c r="AI45" s="56"/>
      <c r="AJ45" s="623" t="s">
        <v>380</v>
      </c>
      <c r="AK45" s="623"/>
      <c r="AL45" s="623"/>
      <c r="AM45" s="623"/>
      <c r="AN45" s="623"/>
      <c r="AO45" s="623"/>
      <c r="AP45" s="623"/>
      <c r="AQ45" s="623"/>
      <c r="AR45" s="160"/>
      <c r="AT45" s="159"/>
      <c r="AU45" s="56"/>
      <c r="AV45" s="689"/>
      <c r="AW45" s="689"/>
      <c r="AX45" s="689"/>
      <c r="AY45" s="689"/>
      <c r="AZ45" s="689"/>
      <c r="BA45" s="56"/>
      <c r="BB45" s="690"/>
      <c r="BC45" s="690"/>
      <c r="BD45" s="688"/>
      <c r="BE45" s="688"/>
      <c r="BF45" s="56"/>
      <c r="BG45" s="56"/>
      <c r="BH45" s="56"/>
      <c r="BI45" s="56"/>
      <c r="BJ45" s="160"/>
    </row>
    <row r="46" spans="2:62" ht="15">
      <c r="B46" s="159"/>
      <c r="C46" s="649" t="s">
        <v>305</v>
      </c>
      <c r="D46" s="650"/>
      <c r="E46" s="650"/>
      <c r="F46" s="650"/>
      <c r="G46" s="650"/>
      <c r="H46" s="230">
        <v>140000</v>
      </c>
      <c r="I46" s="56"/>
      <c r="J46" s="242"/>
      <c r="K46" s="189"/>
      <c r="L46" s="30"/>
      <c r="M46" s="30"/>
      <c r="N46" s="30"/>
      <c r="O46" s="184"/>
      <c r="P46" s="227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60"/>
      <c r="AD46" s="159"/>
      <c r="AE46" s="55">
        <f>AE23</f>
        <v>110</v>
      </c>
      <c r="AF46" s="35">
        <f>AF23*AG15</f>
        <v>900</v>
      </c>
      <c r="AG46" s="35">
        <f>AF23*AH15</f>
        <v>0</v>
      </c>
      <c r="AH46" s="35">
        <f>AF23*AI15</f>
        <v>1500</v>
      </c>
      <c r="AI46" s="56"/>
      <c r="AJ46" s="623" t="str">
        <f>AJ30</f>
        <v>شرح</v>
      </c>
      <c r="AK46" s="623"/>
      <c r="AL46" s="623"/>
      <c r="AM46" s="623"/>
      <c r="AN46" s="260" t="str">
        <f>AN14</f>
        <v>الف</v>
      </c>
      <c r="AO46" s="260" t="str">
        <f>AO14</f>
        <v>ب </v>
      </c>
      <c r="AP46" s="260" t="str">
        <f>AP14</f>
        <v>ج</v>
      </c>
      <c r="AQ46" s="260" t="str">
        <f>AK18</f>
        <v>جمع</v>
      </c>
      <c r="AR46" s="160"/>
      <c r="AT46" s="159"/>
      <c r="AU46" s="56"/>
      <c r="AV46" s="687" t="s">
        <v>523</v>
      </c>
      <c r="AW46" s="687"/>
      <c r="AX46" s="371" t="s">
        <v>539</v>
      </c>
      <c r="AY46" s="371">
        <v>280000000</v>
      </c>
      <c r="AZ46" s="372">
        <v>40000</v>
      </c>
      <c r="BA46" s="56"/>
      <c r="BB46" s="691" t="s">
        <v>523</v>
      </c>
      <c r="BC46" s="691"/>
      <c r="BD46" s="375">
        <v>41000</v>
      </c>
      <c r="BE46" s="375">
        <v>292000000</v>
      </c>
      <c r="BF46" s="56"/>
      <c r="BG46" s="56"/>
      <c r="BH46" s="56"/>
      <c r="BI46" s="56"/>
      <c r="BJ46" s="160"/>
    </row>
    <row r="47" spans="2:62" ht="15" customHeight="1">
      <c r="B47" s="159"/>
      <c r="C47" s="649" t="s">
        <v>306</v>
      </c>
      <c r="D47" s="650"/>
      <c r="E47" s="650"/>
      <c r="F47" s="650"/>
      <c r="G47" s="650"/>
      <c r="H47" s="230"/>
      <c r="I47" s="56"/>
      <c r="J47" s="242"/>
      <c r="K47" s="189" t="s">
        <v>324</v>
      </c>
      <c r="L47" s="30"/>
      <c r="M47" s="30">
        <f>H33*(N41+N42)</f>
        <v>26250</v>
      </c>
      <c r="N47" s="30"/>
      <c r="O47" s="184"/>
      <c r="P47" s="227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160"/>
      <c r="AD47" s="159"/>
      <c r="AE47" s="55">
        <f>AE24</f>
        <v>50</v>
      </c>
      <c r="AF47" s="35">
        <f>AF24*AG16</f>
        <v>400</v>
      </c>
      <c r="AG47" s="35">
        <f>AF24*AH16</f>
        <v>200</v>
      </c>
      <c r="AH47" s="35">
        <f>AF24*AI16</f>
        <v>600</v>
      </c>
      <c r="AI47" s="56"/>
      <c r="AJ47" s="619" t="str">
        <f>AK17</f>
        <v>تعداد موجودی های مورد نظر در 1383/12/29</v>
      </c>
      <c r="AK47" s="619"/>
      <c r="AL47" s="619"/>
      <c r="AM47" s="619"/>
      <c r="AN47" s="35">
        <f>AN17</f>
        <v>10000</v>
      </c>
      <c r="AO47" s="35">
        <f>AO17</f>
        <v>15000</v>
      </c>
      <c r="AP47" s="35">
        <f>AP17</f>
        <v>6000</v>
      </c>
      <c r="AQ47" s="35">
        <f>SUM(AN47:AP47)</f>
        <v>31000</v>
      </c>
      <c r="AR47" s="160"/>
      <c r="AT47" s="159"/>
      <c r="AU47" s="56"/>
      <c r="AV47" s="687" t="s">
        <v>524</v>
      </c>
      <c r="AW47" s="687"/>
      <c r="AX47" s="371" t="s">
        <v>525</v>
      </c>
      <c r="AY47" s="371">
        <v>90000000</v>
      </c>
      <c r="AZ47" s="372">
        <v>1500</v>
      </c>
      <c r="BA47" s="56"/>
      <c r="BB47" s="691" t="s">
        <v>524</v>
      </c>
      <c r="BC47" s="691"/>
      <c r="BD47" s="375">
        <v>1300</v>
      </c>
      <c r="BE47" s="375">
        <v>75000000</v>
      </c>
      <c r="BF47" s="56"/>
      <c r="BG47" s="56"/>
      <c r="BH47" s="56"/>
      <c r="BI47" s="56"/>
      <c r="BJ47" s="160"/>
    </row>
    <row r="48" spans="2:62" ht="15">
      <c r="B48" s="159"/>
      <c r="C48" s="647" t="s">
        <v>307</v>
      </c>
      <c r="D48" s="648"/>
      <c r="E48" s="648"/>
      <c r="F48" s="648"/>
      <c r="G48" s="229">
        <v>70000</v>
      </c>
      <c r="H48" s="184"/>
      <c r="I48" s="56"/>
      <c r="J48" s="242"/>
      <c r="K48" s="189" t="str">
        <f>K31</f>
        <v>محصول تکمیل شده </v>
      </c>
      <c r="L48" s="30"/>
      <c r="M48" s="50">
        <f>H32</f>
        <v>35000</v>
      </c>
      <c r="N48" s="30"/>
      <c r="O48" s="184"/>
      <c r="P48" s="227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60"/>
      <c r="AD48" s="159"/>
      <c r="AE48" s="55">
        <f>AE25</f>
        <v>41</v>
      </c>
      <c r="AF48" s="35">
        <f>AF25*AG17</f>
        <v>0</v>
      </c>
      <c r="AG48" s="35">
        <f>AF25*AH17</f>
        <v>500</v>
      </c>
      <c r="AH48" s="35">
        <f>AF25*AI17</f>
        <v>0</v>
      </c>
      <c r="AI48" s="56"/>
      <c r="AJ48" s="619" t="s">
        <v>315</v>
      </c>
      <c r="AK48" s="619"/>
      <c r="AL48" s="619"/>
      <c r="AM48" s="619"/>
      <c r="AN48" s="35">
        <f>AN47*AF51</f>
        <v>29250000</v>
      </c>
      <c r="AO48" s="35">
        <f>AO47*AG51</f>
        <v>28500000</v>
      </c>
      <c r="AP48" s="35">
        <f>AP47*AH51</f>
        <v>20400000</v>
      </c>
      <c r="AQ48" s="35">
        <f>SUM(AN48:AP48)</f>
        <v>78150000</v>
      </c>
      <c r="AR48" s="160"/>
      <c r="AT48" s="159"/>
      <c r="AU48" s="56"/>
      <c r="AV48" s="687" t="s">
        <v>526</v>
      </c>
      <c r="AW48" s="687"/>
      <c r="AX48" s="371" t="s">
        <v>527</v>
      </c>
      <c r="AY48" s="371">
        <v>120000000</v>
      </c>
      <c r="AZ48" s="372">
        <v>400</v>
      </c>
      <c r="BA48" s="56"/>
      <c r="BB48" s="691" t="s">
        <v>526</v>
      </c>
      <c r="BC48" s="691"/>
      <c r="BD48" s="375">
        <v>420</v>
      </c>
      <c r="BE48" s="375">
        <v>120000000</v>
      </c>
      <c r="BF48" s="56"/>
      <c r="BG48" s="56"/>
      <c r="BH48" s="56"/>
      <c r="BI48" s="56"/>
      <c r="BJ48" s="160"/>
    </row>
    <row r="49" spans="2:62" ht="15">
      <c r="B49" s="159"/>
      <c r="C49" s="647" t="s">
        <v>308</v>
      </c>
      <c r="D49" s="648"/>
      <c r="E49" s="648"/>
      <c r="F49" s="648"/>
      <c r="G49" s="229">
        <v>162500</v>
      </c>
      <c r="H49" s="184"/>
      <c r="I49" s="56"/>
      <c r="J49" s="242"/>
      <c r="K49" s="247" t="s">
        <v>325</v>
      </c>
      <c r="L49" s="150"/>
      <c r="M49" s="150"/>
      <c r="N49" s="248">
        <f>M47/M48</f>
        <v>0.75</v>
      </c>
      <c r="O49" s="184"/>
      <c r="P49" s="227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160"/>
      <c r="AD49" s="159"/>
      <c r="AE49" s="55">
        <f>AE26</f>
        <v>30</v>
      </c>
      <c r="AF49" s="35">
        <f>AF26*AG18</f>
        <v>0</v>
      </c>
      <c r="AG49" s="35">
        <f>AF26*AH18</f>
        <v>1200</v>
      </c>
      <c r="AH49" s="35">
        <f>AF26*AI18</f>
        <v>0</v>
      </c>
      <c r="AI49" s="56"/>
      <c r="AJ49" s="619" t="s">
        <v>381</v>
      </c>
      <c r="AK49" s="619"/>
      <c r="AL49" s="619"/>
      <c r="AM49" s="619"/>
      <c r="AN49" s="35">
        <f>AN47*AF30*AG30</f>
        <v>16000000</v>
      </c>
      <c r="AO49" s="35">
        <f>AO47*AF31*AG31</f>
        <v>22500000</v>
      </c>
      <c r="AP49" s="35">
        <f>AP47*AF32*AG32</f>
        <v>12600000</v>
      </c>
      <c r="AQ49" s="35">
        <f>SUM(AN49:AP49)</f>
        <v>51100000</v>
      </c>
      <c r="AR49" s="160"/>
      <c r="AT49" s="159"/>
      <c r="AU49" s="56"/>
      <c r="AV49" s="687" t="s">
        <v>528</v>
      </c>
      <c r="AW49" s="687"/>
      <c r="AX49" s="371" t="s">
        <v>540</v>
      </c>
      <c r="AY49" s="371">
        <v>360000000</v>
      </c>
      <c r="AZ49" s="372">
        <v>2000</v>
      </c>
      <c r="BA49" s="56"/>
      <c r="BB49" s="691" t="s">
        <v>528</v>
      </c>
      <c r="BC49" s="691"/>
      <c r="BD49" s="375">
        <v>2150</v>
      </c>
      <c r="BE49" s="375">
        <v>395000000</v>
      </c>
      <c r="BF49" s="56"/>
      <c r="BG49" s="56"/>
      <c r="BH49" s="56"/>
      <c r="BI49" s="56"/>
      <c r="BJ49" s="160"/>
    </row>
    <row r="50" spans="2:62" ht="16.5" customHeight="1">
      <c r="B50" s="159"/>
      <c r="C50" s="647" t="s">
        <v>309</v>
      </c>
      <c r="D50" s="648"/>
      <c r="E50" s="648"/>
      <c r="F50" s="648"/>
      <c r="G50" s="232">
        <v>130000</v>
      </c>
      <c r="H50" s="184"/>
      <c r="I50" s="56"/>
      <c r="J50" s="242"/>
      <c r="K50" s="189"/>
      <c r="L50" s="30"/>
      <c r="M50" s="30"/>
      <c r="N50" s="30"/>
      <c r="O50" s="184"/>
      <c r="P50" s="227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160"/>
      <c r="AD50" s="159"/>
      <c r="AE50" s="55">
        <f>AE27</f>
        <v>40</v>
      </c>
      <c r="AF50" s="35">
        <f>AF27*AG19</f>
        <v>1625</v>
      </c>
      <c r="AG50" s="35">
        <f>AF27*AH19</f>
        <v>0</v>
      </c>
      <c r="AH50" s="35">
        <f>AF27*AI19</f>
        <v>1300</v>
      </c>
      <c r="AI50" s="56"/>
      <c r="AJ50" s="619" t="s">
        <v>309</v>
      </c>
      <c r="AK50" s="619"/>
      <c r="AL50" s="619"/>
      <c r="AM50" s="619"/>
      <c r="AN50" s="35">
        <f>AN47*AF30*200</f>
        <v>8000000</v>
      </c>
      <c r="AO50" s="35">
        <f>AO47*AF31*200</f>
        <v>15000000</v>
      </c>
      <c r="AP50" s="35">
        <f>AP47*AF32*200</f>
        <v>6000000</v>
      </c>
      <c r="AQ50" s="35">
        <f>SUM(AN50:AP50)</f>
        <v>29000000</v>
      </c>
      <c r="AR50" s="160"/>
      <c r="AT50" s="159"/>
      <c r="AU50" s="56"/>
      <c r="AV50" s="687" t="s">
        <v>529</v>
      </c>
      <c r="AW50" s="687"/>
      <c r="AX50" s="371" t="s">
        <v>541</v>
      </c>
      <c r="AY50" s="371">
        <v>400000000</v>
      </c>
      <c r="AZ50" s="372">
        <v>80000</v>
      </c>
      <c r="BA50" s="56"/>
      <c r="BB50" s="691" t="s">
        <v>529</v>
      </c>
      <c r="BC50" s="691"/>
      <c r="BD50" s="375">
        <v>82000</v>
      </c>
      <c r="BE50" s="375">
        <v>420000000</v>
      </c>
      <c r="BF50" s="56"/>
      <c r="BG50" s="56"/>
      <c r="BH50" s="56"/>
      <c r="BI50" s="56"/>
      <c r="BJ50" s="160"/>
    </row>
    <row r="51" spans="2:62" ht="15.75" customHeight="1" thickBot="1">
      <c r="B51" s="159"/>
      <c r="C51" s="649" t="s">
        <v>310</v>
      </c>
      <c r="D51" s="650"/>
      <c r="E51" s="650"/>
      <c r="F51" s="650"/>
      <c r="G51" s="237"/>
      <c r="H51" s="235">
        <f>SUM(G48:G50)</f>
        <v>362500</v>
      </c>
      <c r="I51" s="56"/>
      <c r="J51" s="242"/>
      <c r="K51" s="192" t="str">
        <f>K40</f>
        <v>بهای تمام شده هر واحد  </v>
      </c>
      <c r="L51" s="50"/>
      <c r="M51" s="50"/>
      <c r="N51" s="53">
        <f>N45+N49</f>
        <v>15</v>
      </c>
      <c r="O51" s="185"/>
      <c r="P51" s="227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160"/>
      <c r="AD51" s="159"/>
      <c r="AE51" s="55"/>
      <c r="AF51" s="35">
        <f>SUM(AF46:AF50)</f>
        <v>2925</v>
      </c>
      <c r="AG51" s="35">
        <f>SUM(AG46:AG50)</f>
        <v>1900</v>
      </c>
      <c r="AH51" s="35">
        <f>SUM(AH46:AH50)</f>
        <v>3400</v>
      </c>
      <c r="AI51" s="56"/>
      <c r="AJ51" s="619" t="str">
        <f>AQ46</f>
        <v>جمع</v>
      </c>
      <c r="AK51" s="619"/>
      <c r="AL51" s="619"/>
      <c r="AM51" s="619"/>
      <c r="AN51" s="35">
        <f>SUM(AN48:AN50)</f>
        <v>53250000</v>
      </c>
      <c r="AO51" s="35">
        <f>SUM(AO48:AO50)</f>
        <v>66000000</v>
      </c>
      <c r="AP51" s="35">
        <f>SUM(AP48:AP50)</f>
        <v>39000000</v>
      </c>
      <c r="AQ51" s="35">
        <f>SUM(AN51:AP51)</f>
        <v>158250000</v>
      </c>
      <c r="AR51" s="160"/>
      <c r="AT51" s="159"/>
      <c r="AU51" s="56"/>
      <c r="AV51" s="373"/>
      <c r="AW51" s="373"/>
      <c r="AX51" s="373"/>
      <c r="AY51" s="373"/>
      <c r="AZ51" s="374"/>
      <c r="BA51" s="56"/>
      <c r="BB51" s="378"/>
      <c r="BC51" s="379"/>
      <c r="BD51" s="380"/>
      <c r="BE51" s="380">
        <v>1302000000</v>
      </c>
      <c r="BF51" s="56"/>
      <c r="BG51" s="56"/>
      <c r="BH51" s="56"/>
      <c r="BI51" s="56"/>
      <c r="BJ51" s="160"/>
    </row>
    <row r="52" spans="2:62" ht="16.5" thickBot="1" thickTop="1">
      <c r="B52" s="159"/>
      <c r="C52" s="645" t="s">
        <v>312</v>
      </c>
      <c r="D52" s="646"/>
      <c r="E52" s="646"/>
      <c r="F52" s="646"/>
      <c r="G52" s="646"/>
      <c r="H52" s="238">
        <f>SUM(H51,H46,H45)</f>
        <v>643000</v>
      </c>
      <c r="I52" s="56"/>
      <c r="J52" s="243"/>
      <c r="K52" s="226"/>
      <c r="L52" s="226"/>
      <c r="M52" s="226"/>
      <c r="N52" s="226"/>
      <c r="O52" s="226"/>
      <c r="P52" s="244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160"/>
      <c r="AD52" s="159"/>
      <c r="AE52" s="56"/>
      <c r="AF52" s="56"/>
      <c r="AG52" s="56"/>
      <c r="AH52" s="56"/>
      <c r="AI52" s="56"/>
      <c r="AJ52" s="278"/>
      <c r="AK52" s="278"/>
      <c r="AL52" s="278"/>
      <c r="AM52" s="278"/>
      <c r="AN52" s="56"/>
      <c r="AO52" s="56"/>
      <c r="AP52" s="56"/>
      <c r="AQ52" s="56"/>
      <c r="AR52" s="160"/>
      <c r="AT52" s="159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160"/>
    </row>
    <row r="53" spans="2:62" ht="15.75" thickTop="1">
      <c r="B53" s="15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60"/>
      <c r="AD53" s="159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160"/>
      <c r="AT53" s="159"/>
      <c r="AU53" s="56"/>
      <c r="AV53" s="688" t="s">
        <v>360</v>
      </c>
      <c r="AW53" s="688" t="s">
        <v>538</v>
      </c>
      <c r="AX53" s="56"/>
      <c r="AY53" s="688" t="s">
        <v>519</v>
      </c>
      <c r="AZ53" s="688"/>
      <c r="BA53" s="377" t="s">
        <v>532</v>
      </c>
      <c r="BB53" s="377" t="s">
        <v>533</v>
      </c>
      <c r="BC53" s="377" t="s">
        <v>534</v>
      </c>
      <c r="BD53" s="377" t="s">
        <v>535</v>
      </c>
      <c r="BE53" s="377" t="s">
        <v>536</v>
      </c>
      <c r="BF53" s="56"/>
      <c r="BG53" s="56"/>
      <c r="BH53" s="56"/>
      <c r="BI53" s="56"/>
      <c r="BJ53" s="160"/>
    </row>
    <row r="54" spans="2:62" ht="15.75" thickBot="1">
      <c r="B54" s="159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160"/>
      <c r="AD54" s="177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9"/>
      <c r="AT54" s="159"/>
      <c r="AU54" s="56"/>
      <c r="AV54" s="688"/>
      <c r="AW54" s="688"/>
      <c r="AX54" s="56"/>
      <c r="AY54" s="673" t="s">
        <v>537</v>
      </c>
      <c r="AZ54" s="673"/>
      <c r="BA54" s="375">
        <v>10000</v>
      </c>
      <c r="BB54" s="375">
        <v>30000</v>
      </c>
      <c r="BC54" s="375">
        <v>50000</v>
      </c>
      <c r="BD54" s="375">
        <v>100000</v>
      </c>
      <c r="BE54" s="375"/>
      <c r="BF54" s="56"/>
      <c r="BG54" s="56"/>
      <c r="BH54" s="56"/>
      <c r="BI54" s="56"/>
      <c r="BJ54" s="160"/>
    </row>
    <row r="55" spans="2:62" ht="15.75" thickBot="1">
      <c r="B55" s="177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9"/>
      <c r="AT55" s="159"/>
      <c r="AU55" s="56"/>
      <c r="AV55" s="375" t="s">
        <v>532</v>
      </c>
      <c r="AW55" s="375">
        <v>120000000</v>
      </c>
      <c r="AX55" s="56"/>
      <c r="AY55" s="673" t="s">
        <v>523</v>
      </c>
      <c r="AZ55" s="673"/>
      <c r="BA55" s="375">
        <v>8000</v>
      </c>
      <c r="BB55" s="375">
        <v>12000</v>
      </c>
      <c r="BC55" s="375">
        <v>15000</v>
      </c>
      <c r="BD55" s="375">
        <v>6000</v>
      </c>
      <c r="BE55" s="375">
        <v>41000</v>
      </c>
      <c r="BF55" s="56"/>
      <c r="BG55" s="56"/>
      <c r="BH55" s="56"/>
      <c r="BI55" s="56"/>
      <c r="BJ55" s="160"/>
    </row>
    <row r="56" spans="31:62" ht="15">
      <c r="AE56" s="620" t="s">
        <v>409</v>
      </c>
      <c r="AF56" s="620"/>
      <c r="AT56" s="159"/>
      <c r="AU56" s="56"/>
      <c r="AV56" s="375" t="s">
        <v>533</v>
      </c>
      <c r="AW56" s="375">
        <v>132000000</v>
      </c>
      <c r="AX56" s="56"/>
      <c r="AY56" s="673" t="s">
        <v>524</v>
      </c>
      <c r="AZ56" s="673"/>
      <c r="BA56" s="375">
        <v>100</v>
      </c>
      <c r="BB56" s="375">
        <v>300</v>
      </c>
      <c r="BC56" s="375">
        <v>400</v>
      </c>
      <c r="BD56" s="375">
        <v>500</v>
      </c>
      <c r="BE56" s="375">
        <v>1300</v>
      </c>
      <c r="BF56" s="56"/>
      <c r="BG56" s="56"/>
      <c r="BH56" s="56"/>
      <c r="BI56" s="56"/>
      <c r="BJ56" s="160"/>
    </row>
    <row r="57" spans="31:62" ht="15.75" thickBot="1">
      <c r="AE57" s="620"/>
      <c r="AF57" s="620"/>
      <c r="AT57" s="159"/>
      <c r="AU57" s="56"/>
      <c r="AV57" s="375" t="s">
        <v>534</v>
      </c>
      <c r="AW57" s="375">
        <v>118000000</v>
      </c>
      <c r="AX57" s="56"/>
      <c r="AY57" s="673" t="s">
        <v>526</v>
      </c>
      <c r="AZ57" s="673"/>
      <c r="BA57" s="375">
        <v>20</v>
      </c>
      <c r="BB57" s="375">
        <v>90</v>
      </c>
      <c r="BC57" s="375">
        <v>200</v>
      </c>
      <c r="BD57" s="375">
        <v>110</v>
      </c>
      <c r="BE57" s="375">
        <v>420</v>
      </c>
      <c r="BF57" s="56"/>
      <c r="BG57" s="56"/>
      <c r="BH57" s="56"/>
      <c r="BI57" s="56"/>
      <c r="BJ57" s="160"/>
    </row>
    <row r="58" spans="30:62" ht="15">
      <c r="AD58" s="174"/>
      <c r="AE58" s="157"/>
      <c r="AF58" s="157"/>
      <c r="AG58" s="157"/>
      <c r="AH58" s="157"/>
      <c r="AI58" s="157"/>
      <c r="AJ58" s="157"/>
      <c r="AK58" s="158"/>
      <c r="AL58" s="157"/>
      <c r="AM58" s="157"/>
      <c r="AN58" s="157"/>
      <c r="AO58" s="157"/>
      <c r="AP58" s="157"/>
      <c r="AQ58" s="157"/>
      <c r="AR58" s="158"/>
      <c r="AT58" s="159"/>
      <c r="AU58" s="56"/>
      <c r="AV58" s="375" t="s">
        <v>535</v>
      </c>
      <c r="AW58" s="375">
        <v>110000000</v>
      </c>
      <c r="AX58" s="56"/>
      <c r="AY58" s="673" t="s">
        <v>528</v>
      </c>
      <c r="AZ58" s="673"/>
      <c r="BA58" s="375">
        <v>0</v>
      </c>
      <c r="BB58" s="375">
        <v>1500</v>
      </c>
      <c r="BC58" s="375">
        <v>650</v>
      </c>
      <c r="BD58" s="375">
        <v>0</v>
      </c>
      <c r="BE58" s="375">
        <v>2150</v>
      </c>
      <c r="BF58" s="56"/>
      <c r="BG58" s="56"/>
      <c r="BH58" s="56"/>
      <c r="BI58" s="56"/>
      <c r="BJ58" s="160"/>
    </row>
    <row r="59" spans="30:62" ht="15">
      <c r="AD59" s="159"/>
      <c r="AE59" s="621" t="s">
        <v>383</v>
      </c>
      <c r="AF59" s="622"/>
      <c r="AG59" s="622"/>
      <c r="AH59" s="622"/>
      <c r="AI59" s="622"/>
      <c r="AJ59" s="622"/>
      <c r="AK59" s="160"/>
      <c r="AL59" s="56"/>
      <c r="AM59" s="56"/>
      <c r="AN59" s="56"/>
      <c r="AO59" s="56"/>
      <c r="AP59" s="56"/>
      <c r="AQ59" s="56"/>
      <c r="AR59" s="160"/>
      <c r="AT59" s="159"/>
      <c r="AU59" s="56"/>
      <c r="AV59" s="56"/>
      <c r="AW59" s="56"/>
      <c r="AX59" s="56"/>
      <c r="AY59" s="673" t="s">
        <v>529</v>
      </c>
      <c r="AZ59" s="673"/>
      <c r="BA59" s="375">
        <v>16000</v>
      </c>
      <c r="BB59" s="375">
        <v>24000</v>
      </c>
      <c r="BC59" s="375">
        <v>30000</v>
      </c>
      <c r="BD59" s="375">
        <v>12000</v>
      </c>
      <c r="BE59" s="375">
        <v>82000</v>
      </c>
      <c r="BF59" s="56"/>
      <c r="BG59" s="56"/>
      <c r="BH59" s="56"/>
      <c r="BI59" s="56"/>
      <c r="BJ59" s="160"/>
    </row>
    <row r="60" spans="30:62" ht="12.75">
      <c r="AD60" s="159"/>
      <c r="AE60" s="611" t="s">
        <v>384</v>
      </c>
      <c r="AF60" s="612"/>
      <c r="AG60" s="612"/>
      <c r="AH60" s="612"/>
      <c r="AI60" s="612"/>
      <c r="AJ60" s="613"/>
      <c r="AK60" s="160"/>
      <c r="AL60" s="56"/>
      <c r="AM60" s="56"/>
      <c r="AN60" s="56"/>
      <c r="AO60" s="56"/>
      <c r="AP60" s="56"/>
      <c r="AQ60" s="56"/>
      <c r="AR60" s="160"/>
      <c r="AT60" s="159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160"/>
    </row>
    <row r="61" spans="30:62" ht="15">
      <c r="AD61" s="159"/>
      <c r="AE61" s="279" t="s">
        <v>385</v>
      </c>
      <c r="AF61" s="280"/>
      <c r="AG61" s="281"/>
      <c r="AH61" s="282">
        <v>0.8</v>
      </c>
      <c r="AI61" s="281"/>
      <c r="AJ61" s="283">
        <v>1</v>
      </c>
      <c r="AK61" s="160"/>
      <c r="AL61" s="56"/>
      <c r="AM61" s="56"/>
      <c r="AN61" s="56"/>
      <c r="AO61" s="56"/>
      <c r="AP61" s="56"/>
      <c r="AQ61" s="56"/>
      <c r="AR61" s="160"/>
      <c r="AT61" s="159"/>
      <c r="AU61" s="56"/>
      <c r="AV61" s="383" t="s">
        <v>543</v>
      </c>
      <c r="AW61" s="56" t="s">
        <v>546</v>
      </c>
      <c r="AX61" s="260" t="str">
        <f>AV44</f>
        <v>مرکز فعالیت</v>
      </c>
      <c r="AY61" s="260" t="str">
        <f>AY44</f>
        <v>برآورد هزینه</v>
      </c>
      <c r="AZ61" s="260" t="str">
        <f>AZ44</f>
        <v>تعداد فعالیت مورد انتظار</v>
      </c>
      <c r="BA61" s="260" t="s">
        <v>542</v>
      </c>
      <c r="BB61" s="56"/>
      <c r="BC61" s="56"/>
      <c r="BD61" s="56"/>
      <c r="BE61" s="56"/>
      <c r="BF61" s="56"/>
      <c r="BG61" s="56"/>
      <c r="BH61" s="56"/>
      <c r="BI61" s="56"/>
      <c r="BJ61" s="160"/>
    </row>
    <row r="62" spans="30:62" ht="12.75">
      <c r="AD62" s="159"/>
      <c r="AE62" s="284" t="s">
        <v>386</v>
      </c>
      <c r="AF62" s="285"/>
      <c r="AG62" s="286"/>
      <c r="AH62" s="287">
        <v>2000</v>
      </c>
      <c r="AI62" s="286"/>
      <c r="AJ62" s="288">
        <v>2500</v>
      </c>
      <c r="AK62" s="160"/>
      <c r="AL62" s="56"/>
      <c r="AM62" s="56"/>
      <c r="AN62" s="56"/>
      <c r="AO62" s="56"/>
      <c r="AP62" s="56"/>
      <c r="AQ62" s="56"/>
      <c r="AR62" s="160"/>
      <c r="AT62" s="159"/>
      <c r="AU62" s="56"/>
      <c r="AV62" s="56"/>
      <c r="AW62" s="56"/>
      <c r="AX62" s="35" t="str">
        <f>AV46</f>
        <v>ساعات کار کارگران</v>
      </c>
      <c r="AY62" s="381">
        <f aca="true" t="shared" si="1" ref="AY62:AZ66">AY46</f>
        <v>280000000</v>
      </c>
      <c r="AZ62" s="35">
        <f t="shared" si="1"/>
        <v>40000</v>
      </c>
      <c r="BA62" s="382">
        <f>AY62/AZ62</f>
        <v>7000</v>
      </c>
      <c r="BB62" s="56"/>
      <c r="BC62" s="56"/>
      <c r="BD62" s="56"/>
      <c r="BE62" s="56"/>
      <c r="BF62" s="56"/>
      <c r="BG62" s="56"/>
      <c r="BH62" s="56"/>
      <c r="BI62" s="56"/>
      <c r="BJ62" s="160"/>
    </row>
    <row r="63" spans="30:62" ht="12.75">
      <c r="AD63" s="159"/>
      <c r="AE63" s="289" t="s">
        <v>387</v>
      </c>
      <c r="AF63" s="290"/>
      <c r="AG63" s="291"/>
      <c r="AH63" s="292">
        <v>400000</v>
      </c>
      <c r="AI63" s="291"/>
      <c r="AJ63" s="293">
        <v>500000</v>
      </c>
      <c r="AK63" s="160"/>
      <c r="AL63" s="56"/>
      <c r="AM63" s="614" t="s">
        <v>388</v>
      </c>
      <c r="AN63" s="616" t="s">
        <v>389</v>
      </c>
      <c r="AO63" s="618" t="s">
        <v>390</v>
      </c>
      <c r="AP63" s="603" t="s">
        <v>391</v>
      </c>
      <c r="AQ63" s="604"/>
      <c r="AR63" s="160"/>
      <c r="AT63" s="159"/>
      <c r="AU63" s="56"/>
      <c r="AV63" s="56"/>
      <c r="AW63" s="56"/>
      <c r="AX63" s="35" t="str">
        <f>AV47</f>
        <v>تدارکات مواد اولیه </v>
      </c>
      <c r="AY63" s="381">
        <f t="shared" si="1"/>
        <v>90000000</v>
      </c>
      <c r="AZ63" s="35">
        <f t="shared" si="1"/>
        <v>1500</v>
      </c>
      <c r="BA63" s="382">
        <f>AY63/AZ63</f>
        <v>60000</v>
      </c>
      <c r="BB63" s="56"/>
      <c r="BC63" s="56"/>
      <c r="BD63" s="56"/>
      <c r="BE63" s="56"/>
      <c r="BF63" s="56"/>
      <c r="BG63" s="56"/>
      <c r="BH63" s="56"/>
      <c r="BI63" s="56"/>
      <c r="BJ63" s="160"/>
    </row>
    <row r="64" spans="30:62" ht="12.75">
      <c r="AD64" s="159"/>
      <c r="AE64" s="188" t="s">
        <v>392</v>
      </c>
      <c r="AF64" s="182"/>
      <c r="AG64" s="182"/>
      <c r="AH64" s="215">
        <v>50000</v>
      </c>
      <c r="AI64" s="182"/>
      <c r="AJ64" s="183">
        <f>AH64</f>
        <v>50000</v>
      </c>
      <c r="AK64" s="160"/>
      <c r="AL64" s="56"/>
      <c r="AM64" s="615"/>
      <c r="AN64" s="617"/>
      <c r="AO64" s="581"/>
      <c r="AP64" s="294">
        <v>0.87</v>
      </c>
      <c r="AQ64" s="295">
        <v>1</v>
      </c>
      <c r="AR64" s="160"/>
      <c r="AT64" s="159"/>
      <c r="AU64" s="56"/>
      <c r="AV64" s="56"/>
      <c r="AW64" s="56"/>
      <c r="AX64" s="35" t="str">
        <f>AV48</f>
        <v>مدیریت قطعات </v>
      </c>
      <c r="AY64" s="381">
        <f t="shared" si="1"/>
        <v>120000000</v>
      </c>
      <c r="AZ64" s="35">
        <f t="shared" si="1"/>
        <v>400</v>
      </c>
      <c r="BA64" s="382">
        <f>AY64/AZ64</f>
        <v>300000</v>
      </c>
      <c r="BB64" s="56"/>
      <c r="BC64" s="56"/>
      <c r="BD64" s="56"/>
      <c r="BE64" s="56"/>
      <c r="BF64" s="56"/>
      <c r="BG64" s="56"/>
      <c r="BH64" s="56"/>
      <c r="BI64" s="56"/>
      <c r="BJ64" s="160"/>
    </row>
    <row r="65" spans="30:62" ht="12.75">
      <c r="AD65" s="159"/>
      <c r="AE65" s="189" t="s">
        <v>393</v>
      </c>
      <c r="AF65" s="30"/>
      <c r="AG65" s="30"/>
      <c r="AH65" s="211">
        <v>135000</v>
      </c>
      <c r="AI65" s="30"/>
      <c r="AJ65" s="184">
        <v>150000</v>
      </c>
      <c r="AK65" s="160"/>
      <c r="AL65" s="56"/>
      <c r="AM65" s="35">
        <f aca="true" t="shared" si="2" ref="AM65:AM70">AO65/AN65</f>
        <v>30</v>
      </c>
      <c r="AN65" s="35">
        <f aca="true" t="shared" si="3" ref="AN65:AN70">$AJ$62-$AH$62</f>
        <v>500</v>
      </c>
      <c r="AO65" s="225">
        <f aca="true" t="shared" si="4" ref="AO65:AO70">AQ65-AP65</f>
        <v>15000</v>
      </c>
      <c r="AP65" s="35">
        <f>AH65</f>
        <v>135000</v>
      </c>
      <c r="AQ65" s="35">
        <f>AJ65</f>
        <v>150000</v>
      </c>
      <c r="AR65" s="160"/>
      <c r="AT65" s="159"/>
      <c r="AU65" s="56"/>
      <c r="AV65" s="56"/>
      <c r="AW65" s="56"/>
      <c r="AX65" s="35" t="str">
        <f>AV49</f>
        <v>پرس کاری </v>
      </c>
      <c r="AY65" s="381">
        <f t="shared" si="1"/>
        <v>360000000</v>
      </c>
      <c r="AZ65" s="35">
        <f t="shared" si="1"/>
        <v>2000</v>
      </c>
      <c r="BA65" s="382">
        <f>AY65/AZ65</f>
        <v>180000</v>
      </c>
      <c r="BB65" s="56"/>
      <c r="BC65" s="56"/>
      <c r="BD65" s="56"/>
      <c r="BE65" s="56"/>
      <c r="BF65" s="56"/>
      <c r="BG65" s="56"/>
      <c r="BH65" s="56"/>
      <c r="BI65" s="56"/>
      <c r="BJ65" s="160"/>
    </row>
    <row r="66" spans="30:62" ht="12.75">
      <c r="AD66" s="159"/>
      <c r="AE66" s="189" t="s">
        <v>394</v>
      </c>
      <c r="AF66" s="30"/>
      <c r="AG66" s="30"/>
      <c r="AH66" s="211">
        <v>70000</v>
      </c>
      <c r="AI66" s="30"/>
      <c r="AJ66" s="184">
        <v>75000</v>
      </c>
      <c r="AK66" s="160"/>
      <c r="AL66" s="56"/>
      <c r="AM66" s="35">
        <f t="shared" si="2"/>
        <v>10</v>
      </c>
      <c r="AN66" s="35">
        <f t="shared" si="3"/>
        <v>500</v>
      </c>
      <c r="AO66" s="225">
        <f t="shared" si="4"/>
        <v>5000</v>
      </c>
      <c r="AP66" s="35">
        <f>AH66</f>
        <v>70000</v>
      </c>
      <c r="AQ66" s="35">
        <f>AJ66</f>
        <v>75000</v>
      </c>
      <c r="AR66" s="160"/>
      <c r="AT66" s="159"/>
      <c r="AU66" s="56"/>
      <c r="AV66" s="56"/>
      <c r="AW66" s="56"/>
      <c r="AX66" s="35" t="str">
        <f>AV50</f>
        <v>عمومی کارخانه</v>
      </c>
      <c r="AY66" s="381">
        <f t="shared" si="1"/>
        <v>400000000</v>
      </c>
      <c r="AZ66" s="35">
        <f t="shared" si="1"/>
        <v>80000</v>
      </c>
      <c r="BA66" s="382">
        <f>AY66/AZ66</f>
        <v>5000</v>
      </c>
      <c r="BB66" s="56"/>
      <c r="BC66" s="56"/>
      <c r="BD66" s="56"/>
      <c r="BE66" s="56"/>
      <c r="BF66" s="56"/>
      <c r="BG66" s="56"/>
      <c r="BH66" s="56"/>
      <c r="BI66" s="56"/>
      <c r="BJ66" s="160"/>
    </row>
    <row r="67" spans="30:62" ht="12.75">
      <c r="AD67" s="159"/>
      <c r="AE67" s="189" t="s">
        <v>395</v>
      </c>
      <c r="AF67" s="30"/>
      <c r="AG67" s="30"/>
      <c r="AH67" s="211">
        <v>43000</v>
      </c>
      <c r="AI67" s="30"/>
      <c r="AJ67" s="184">
        <v>50000</v>
      </c>
      <c r="AK67" s="160"/>
      <c r="AL67" s="56"/>
      <c r="AM67" s="35">
        <f t="shared" si="2"/>
        <v>14</v>
      </c>
      <c r="AN67" s="35">
        <f t="shared" si="3"/>
        <v>500</v>
      </c>
      <c r="AO67" s="225">
        <f t="shared" si="4"/>
        <v>7000</v>
      </c>
      <c r="AP67" s="35">
        <f>AH67</f>
        <v>43000</v>
      </c>
      <c r="AQ67" s="35">
        <f>AJ67</f>
        <v>50000</v>
      </c>
      <c r="AR67" s="160"/>
      <c r="AT67" s="159"/>
      <c r="AU67" s="56"/>
      <c r="AV67" s="56"/>
      <c r="AW67" s="56"/>
      <c r="AX67" s="35"/>
      <c r="AY67" s="381">
        <f>SUM(AY62:AY66)</f>
        <v>1250000000</v>
      </c>
      <c r="AZ67" s="35"/>
      <c r="BA67" s="35"/>
      <c r="BB67" s="56"/>
      <c r="BC67" s="56"/>
      <c r="BD67" s="56"/>
      <c r="BE67" s="56"/>
      <c r="BF67" s="56"/>
      <c r="BG67" s="56"/>
      <c r="BH67" s="56"/>
      <c r="BI67" s="56"/>
      <c r="BJ67" s="160"/>
    </row>
    <row r="68" spans="30:62" ht="12.75">
      <c r="AD68" s="159"/>
      <c r="AE68" s="189" t="s">
        <v>396</v>
      </c>
      <c r="AF68" s="30"/>
      <c r="AG68" s="30"/>
      <c r="AH68" s="211">
        <v>50000</v>
      </c>
      <c r="AI68" s="30"/>
      <c r="AJ68" s="184">
        <f>AH68</f>
        <v>50000</v>
      </c>
      <c r="AK68" s="160"/>
      <c r="AL68" s="56"/>
      <c r="AM68" s="35">
        <f t="shared" si="2"/>
        <v>0</v>
      </c>
      <c r="AN68" s="35">
        <f t="shared" si="3"/>
        <v>500</v>
      </c>
      <c r="AO68" s="225">
        <f t="shared" si="4"/>
        <v>0</v>
      </c>
      <c r="AP68" s="35">
        <f>AH69</f>
        <v>25000</v>
      </c>
      <c r="AQ68" s="35">
        <f>AJ69</f>
        <v>25000</v>
      </c>
      <c r="AR68" s="160"/>
      <c r="AT68" s="159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160"/>
    </row>
    <row r="69" spans="30:62" ht="12.75">
      <c r="AD69" s="159"/>
      <c r="AE69" s="189" t="s">
        <v>397</v>
      </c>
      <c r="AF69" s="30"/>
      <c r="AG69" s="30"/>
      <c r="AH69" s="211">
        <v>25000</v>
      </c>
      <c r="AI69" s="30"/>
      <c r="AJ69" s="184">
        <f>AH69</f>
        <v>25000</v>
      </c>
      <c r="AK69" s="160"/>
      <c r="AL69" s="56"/>
      <c r="AM69" s="35">
        <f t="shared" si="2"/>
        <v>4</v>
      </c>
      <c r="AN69" s="35">
        <f t="shared" si="3"/>
        <v>500</v>
      </c>
      <c r="AO69" s="225">
        <f t="shared" si="4"/>
        <v>2000</v>
      </c>
      <c r="AP69" s="35">
        <f>AH71</f>
        <v>38000</v>
      </c>
      <c r="AQ69" s="35">
        <f>AJ71</f>
        <v>40000</v>
      </c>
      <c r="AR69" s="160"/>
      <c r="AT69" s="159"/>
      <c r="AU69" s="56"/>
      <c r="AV69" s="56"/>
      <c r="AW69" s="56" t="s">
        <v>547</v>
      </c>
      <c r="AX69" s="260" t="str">
        <f>AV44</f>
        <v>مرکز فعالیت</v>
      </c>
      <c r="AY69" s="260" t="str">
        <f>BE44</f>
        <v>مبلغ واقعی هزینه</v>
      </c>
      <c r="AZ69" s="260" t="s">
        <v>544</v>
      </c>
      <c r="BA69" s="260" t="s">
        <v>545</v>
      </c>
      <c r="BB69" s="56"/>
      <c r="BC69" s="56"/>
      <c r="BD69" s="56"/>
      <c r="BE69" s="56"/>
      <c r="BF69" s="56"/>
      <c r="BG69" s="56"/>
      <c r="BH69" s="56"/>
      <c r="BI69" s="56"/>
      <c r="BJ69" s="160"/>
    </row>
    <row r="70" spans="30:62" ht="12.75">
      <c r="AD70" s="159"/>
      <c r="AE70" s="189" t="s">
        <v>398</v>
      </c>
      <c r="AF70" s="30"/>
      <c r="AG70" s="30"/>
      <c r="AH70" s="211">
        <v>20000</v>
      </c>
      <c r="AI70" s="30"/>
      <c r="AJ70" s="184">
        <f>AH70</f>
        <v>20000</v>
      </c>
      <c r="AK70" s="160"/>
      <c r="AL70" s="56"/>
      <c r="AM70" s="35">
        <f t="shared" si="2"/>
        <v>8</v>
      </c>
      <c r="AN70" s="35">
        <f t="shared" si="3"/>
        <v>500</v>
      </c>
      <c r="AO70" s="225">
        <f t="shared" si="4"/>
        <v>4000</v>
      </c>
      <c r="AP70" s="35">
        <f>AH72</f>
        <v>36000</v>
      </c>
      <c r="AQ70" s="35">
        <f>AJ72</f>
        <v>40000</v>
      </c>
      <c r="AR70" s="160"/>
      <c r="AT70" s="159"/>
      <c r="AU70" s="56"/>
      <c r="AV70" s="56"/>
      <c r="AW70" s="56"/>
      <c r="AX70" s="35" t="str">
        <f>AV46</f>
        <v>ساعات کار کارگران</v>
      </c>
      <c r="AY70" s="35">
        <f>BE46</f>
        <v>292000000</v>
      </c>
      <c r="AZ70" s="35">
        <f>AY46/AZ46*BD46</f>
        <v>287000000</v>
      </c>
      <c r="BA70" s="35">
        <f>AZ70-AY70</f>
        <v>-5000000</v>
      </c>
      <c r="BB70" s="56"/>
      <c r="BC70" s="56"/>
      <c r="BD70" s="56"/>
      <c r="BE70" s="56"/>
      <c r="BF70" s="56"/>
      <c r="BG70" s="56"/>
      <c r="BH70" s="56"/>
      <c r="BI70" s="56"/>
      <c r="BJ70" s="160"/>
    </row>
    <row r="71" spans="30:62" ht="12.75">
      <c r="AD71" s="159"/>
      <c r="AE71" s="189" t="s">
        <v>399</v>
      </c>
      <c r="AF71" s="30"/>
      <c r="AG71" s="30"/>
      <c r="AH71" s="211">
        <v>38000</v>
      </c>
      <c r="AI71" s="30"/>
      <c r="AJ71" s="184">
        <v>40000</v>
      </c>
      <c r="AK71" s="160"/>
      <c r="AL71" s="56"/>
      <c r="AM71" s="56"/>
      <c r="AN71" s="56"/>
      <c r="AO71" s="56"/>
      <c r="AP71" s="56"/>
      <c r="AQ71" s="56"/>
      <c r="AR71" s="160"/>
      <c r="AT71" s="159"/>
      <c r="AU71" s="56"/>
      <c r="AV71" s="56"/>
      <c r="AW71" s="56"/>
      <c r="AX71" s="35" t="str">
        <f>AV47</f>
        <v>تدارکات مواد اولیه </v>
      </c>
      <c r="AY71" s="35">
        <f>BE47</f>
        <v>75000000</v>
      </c>
      <c r="AZ71" s="35">
        <f>AY47/AZ47*BD47</f>
        <v>78000000</v>
      </c>
      <c r="BA71" s="35">
        <f>AZ71-AY71</f>
        <v>3000000</v>
      </c>
      <c r="BB71" s="56"/>
      <c r="BC71" s="56"/>
      <c r="BD71" s="56"/>
      <c r="BE71" s="56"/>
      <c r="BF71" s="56"/>
      <c r="BG71" s="56"/>
      <c r="BH71" s="56"/>
      <c r="BI71" s="56"/>
      <c r="BJ71" s="160"/>
    </row>
    <row r="72" spans="30:62" ht="12.75">
      <c r="AD72" s="159"/>
      <c r="AE72" s="189" t="s">
        <v>400</v>
      </c>
      <c r="AF72" s="30"/>
      <c r="AG72" s="30"/>
      <c r="AH72" s="211">
        <v>36000</v>
      </c>
      <c r="AI72" s="30"/>
      <c r="AJ72" s="184">
        <v>40000</v>
      </c>
      <c r="AK72" s="160"/>
      <c r="AL72" s="56"/>
      <c r="AM72" s="56"/>
      <c r="AN72" s="56"/>
      <c r="AO72" s="56"/>
      <c r="AP72" s="56"/>
      <c r="AQ72" s="56"/>
      <c r="AR72" s="160"/>
      <c r="AT72" s="159"/>
      <c r="AU72" s="56"/>
      <c r="AV72" s="56"/>
      <c r="AW72" s="56"/>
      <c r="AX72" s="35" t="str">
        <f>AV48</f>
        <v>مدیریت قطعات </v>
      </c>
      <c r="AY72" s="35">
        <f>BE48</f>
        <v>120000000</v>
      </c>
      <c r="AZ72" s="35">
        <f>AY48/AZ48*BD48</f>
        <v>126000000</v>
      </c>
      <c r="BA72" s="35">
        <f>AZ72-AY72</f>
        <v>6000000</v>
      </c>
      <c r="BB72" s="56"/>
      <c r="BC72" s="56"/>
      <c r="BD72" s="56"/>
      <c r="BE72" s="56"/>
      <c r="BF72" s="56"/>
      <c r="BG72" s="56"/>
      <c r="BH72" s="56"/>
      <c r="BI72" s="56"/>
      <c r="BJ72" s="160"/>
    </row>
    <row r="73" spans="30:62" ht="13.5" thickBot="1">
      <c r="AD73" s="159"/>
      <c r="AE73" s="189" t="s">
        <v>401</v>
      </c>
      <c r="AF73" s="30"/>
      <c r="AG73" s="30"/>
      <c r="AH73" s="222">
        <f>SUM(AH64:AH72)</f>
        <v>467000</v>
      </c>
      <c r="AI73" s="30"/>
      <c r="AJ73" s="245">
        <f>SUM(AJ64:AJ72)</f>
        <v>500000</v>
      </c>
      <c r="AK73" s="160"/>
      <c r="AL73" s="56"/>
      <c r="AM73" s="56"/>
      <c r="AN73" s="56"/>
      <c r="AO73" s="56"/>
      <c r="AP73" s="56"/>
      <c r="AQ73" s="56"/>
      <c r="AR73" s="160"/>
      <c r="AT73" s="159"/>
      <c r="AU73" s="56"/>
      <c r="AV73" s="56"/>
      <c r="AW73" s="56"/>
      <c r="AX73" s="35" t="str">
        <f>AV49</f>
        <v>پرس کاری </v>
      </c>
      <c r="AY73" s="35">
        <f>BE49</f>
        <v>395000000</v>
      </c>
      <c r="AZ73" s="35">
        <f>AY49/AZ49*BD49</f>
        <v>387000000</v>
      </c>
      <c r="BA73" s="35">
        <f>AZ73-AY73</f>
        <v>-8000000</v>
      </c>
      <c r="BB73" s="56"/>
      <c r="BC73" s="56"/>
      <c r="BD73" s="56"/>
      <c r="BE73" s="56"/>
      <c r="BF73" s="56"/>
      <c r="BG73" s="56"/>
      <c r="BH73" s="56"/>
      <c r="BI73" s="56"/>
      <c r="BJ73" s="160"/>
    </row>
    <row r="74" spans="30:62" ht="13.5" thickTop="1">
      <c r="AD74" s="159"/>
      <c r="AE74" s="189"/>
      <c r="AF74" s="30"/>
      <c r="AG74" s="30"/>
      <c r="AH74" s="211"/>
      <c r="AI74" s="30"/>
      <c r="AJ74" s="184"/>
      <c r="AK74" s="160"/>
      <c r="AL74" s="56"/>
      <c r="AM74" s="56"/>
      <c r="AN74" s="56"/>
      <c r="AO74" s="56"/>
      <c r="AP74" s="56"/>
      <c r="AQ74" s="56"/>
      <c r="AR74" s="160"/>
      <c r="AT74" s="159"/>
      <c r="AU74" s="56"/>
      <c r="AV74" s="56"/>
      <c r="AW74" s="56"/>
      <c r="AX74" s="35" t="str">
        <f>AV50</f>
        <v>عمومی کارخانه</v>
      </c>
      <c r="AY74" s="35">
        <f>BE50</f>
        <v>420000000</v>
      </c>
      <c r="AZ74" s="35">
        <f>AY50/AZ50*BD50</f>
        <v>410000000</v>
      </c>
      <c r="BA74" s="35">
        <f>AZ74-AY74</f>
        <v>-10000000</v>
      </c>
      <c r="BB74" s="56"/>
      <c r="BC74" s="56"/>
      <c r="BD74" s="56"/>
      <c r="BE74" s="56"/>
      <c r="BF74" s="56"/>
      <c r="BG74" s="56"/>
      <c r="BH74" s="56"/>
      <c r="BI74" s="56"/>
      <c r="BJ74" s="160"/>
    </row>
    <row r="75" spans="30:62" ht="13.5" thickBot="1">
      <c r="AD75" s="159"/>
      <c r="AE75" s="192" t="s">
        <v>402</v>
      </c>
      <c r="AF75" s="50"/>
      <c r="AG75" s="50"/>
      <c r="AH75" s="216">
        <f>AH73/AH62</f>
        <v>233.5</v>
      </c>
      <c r="AI75" s="50"/>
      <c r="AJ75" s="296">
        <f>AJ73/AJ62</f>
        <v>200</v>
      </c>
      <c r="AK75" s="160"/>
      <c r="AL75" s="56"/>
      <c r="AM75" s="56"/>
      <c r="AN75" s="56"/>
      <c r="AO75" s="56"/>
      <c r="AP75" s="56"/>
      <c r="AQ75" s="56"/>
      <c r="AR75" s="160"/>
      <c r="AT75" s="159"/>
      <c r="AU75" s="56"/>
      <c r="AV75" s="56"/>
      <c r="AW75" s="56"/>
      <c r="AX75" s="35"/>
      <c r="AY75" s="46">
        <f>SUM(AY70:AY74)</f>
        <v>1302000000</v>
      </c>
      <c r="AZ75" s="46">
        <f>SUM(AZ70:AZ74)</f>
        <v>1288000000</v>
      </c>
      <c r="BA75" s="46">
        <f>SUM(BA70:BA74)</f>
        <v>-14000000</v>
      </c>
      <c r="BB75" s="56"/>
      <c r="BC75" s="56"/>
      <c r="BD75" s="56"/>
      <c r="BE75" s="56"/>
      <c r="BF75" s="56"/>
      <c r="BG75" s="56"/>
      <c r="BH75" s="56"/>
      <c r="BI75" s="56"/>
      <c r="BJ75" s="160"/>
    </row>
    <row r="76" spans="30:62" ht="14.25" thickBot="1" thickTop="1">
      <c r="AD76" s="177"/>
      <c r="AE76" s="178"/>
      <c r="AF76" s="178"/>
      <c r="AG76" s="178"/>
      <c r="AH76" s="178"/>
      <c r="AI76" s="178"/>
      <c r="AJ76" s="178"/>
      <c r="AK76" s="179"/>
      <c r="AL76" s="56"/>
      <c r="AM76" s="56"/>
      <c r="AN76" s="56"/>
      <c r="AO76" s="56"/>
      <c r="AP76" s="56"/>
      <c r="AQ76" s="56"/>
      <c r="AR76" s="160"/>
      <c r="AT76" s="159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160"/>
    </row>
    <row r="77" spans="30:62" ht="12.75">
      <c r="AD77" s="159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160"/>
      <c r="AT77" s="159"/>
      <c r="AU77" s="56"/>
      <c r="AV77" s="56"/>
      <c r="AW77" s="56" t="s">
        <v>548</v>
      </c>
      <c r="AX77" s="55" t="str">
        <f>AV44</f>
        <v>مرکز فعالیت</v>
      </c>
      <c r="AY77" s="55" t="str">
        <f>BA53</f>
        <v>A</v>
      </c>
      <c r="AZ77" s="55" t="str">
        <f>BB53</f>
        <v>B</v>
      </c>
      <c r="BA77" s="55" t="str">
        <f>BC53</f>
        <v>C</v>
      </c>
      <c r="BB77" s="55" t="str">
        <f>BD53</f>
        <v>D</v>
      </c>
      <c r="BC77" s="56"/>
      <c r="BD77" s="384" t="s">
        <v>114</v>
      </c>
      <c r="BE77" s="55" t="str">
        <f>AY77</f>
        <v>A</v>
      </c>
      <c r="BF77" s="55" t="str">
        <f>AZ77</f>
        <v>B</v>
      </c>
      <c r="BG77" s="55" t="str">
        <f>BA77</f>
        <v>C</v>
      </c>
      <c r="BH77" s="55" t="str">
        <f>BB77</f>
        <v>D</v>
      </c>
      <c r="BI77" s="56"/>
      <c r="BJ77" s="160"/>
    </row>
    <row r="78" spans="30:62" ht="12.75">
      <c r="AD78" s="297" t="s">
        <v>403</v>
      </c>
      <c r="AE78" s="298">
        <v>1</v>
      </c>
      <c r="AF78" s="605" t="s">
        <v>404</v>
      </c>
      <c r="AG78" s="605"/>
      <c r="AH78" s="605"/>
      <c r="AI78" s="605"/>
      <c r="AJ78" s="605"/>
      <c r="AK78" s="606"/>
      <c r="AL78" s="56"/>
      <c r="AM78" s="56"/>
      <c r="AN78" s="56"/>
      <c r="AO78" s="56"/>
      <c r="AP78" s="56"/>
      <c r="AQ78" s="56"/>
      <c r="AR78" s="160"/>
      <c r="AT78" s="159"/>
      <c r="AU78" s="56"/>
      <c r="AV78" s="56"/>
      <c r="AW78" s="56"/>
      <c r="AX78" s="35" t="str">
        <f>AV46</f>
        <v>ساعات کار کارگران</v>
      </c>
      <c r="AY78" s="35">
        <f>$AZ$70/$BE$55*BA55</f>
        <v>56000000</v>
      </c>
      <c r="AZ78" s="35">
        <f>$AZ$70/$BE$55*BB55</f>
        <v>84000000</v>
      </c>
      <c r="BA78" s="35">
        <f>$AZ$70/$BE$55*BC55</f>
        <v>105000000</v>
      </c>
      <c r="BB78" s="35">
        <f>$AZ$70/$BE$55*BD55</f>
        <v>42000000</v>
      </c>
      <c r="BC78" s="56"/>
      <c r="BD78" s="385" t="str">
        <f>AW53</f>
        <v>مواد مستقیم</v>
      </c>
      <c r="BE78" s="35">
        <f>$AW55/BA54</f>
        <v>12000</v>
      </c>
      <c r="BF78" s="35">
        <f>$AW56/BB54</f>
        <v>4400</v>
      </c>
      <c r="BG78" s="35">
        <f>$AW57/BC54</f>
        <v>2360</v>
      </c>
      <c r="BH78" s="35">
        <f>$AW58/BD54</f>
        <v>1100</v>
      </c>
      <c r="BI78" s="56"/>
      <c r="BJ78" s="160"/>
    </row>
    <row r="79" spans="30:62" ht="12.75">
      <c r="AD79" s="29"/>
      <c r="AE79" s="299">
        <v>2</v>
      </c>
      <c r="AF79" s="607" t="s">
        <v>405</v>
      </c>
      <c r="AG79" s="607"/>
      <c r="AH79" s="607"/>
      <c r="AI79" s="607"/>
      <c r="AJ79" s="607"/>
      <c r="AK79" s="608"/>
      <c r="AL79" s="56"/>
      <c r="AM79" s="56"/>
      <c r="AN79" s="56"/>
      <c r="AO79" s="56"/>
      <c r="AP79" s="56"/>
      <c r="AQ79" s="56"/>
      <c r="AR79" s="160"/>
      <c r="AT79" s="159"/>
      <c r="AU79" s="56"/>
      <c r="AV79" s="56"/>
      <c r="AW79" s="56"/>
      <c r="AX79" s="35" t="str">
        <f>AV47</f>
        <v>تدارکات مواد اولیه </v>
      </c>
      <c r="AY79" s="35">
        <f>$AZ$71/$BE$56*BA56</f>
        <v>6000000</v>
      </c>
      <c r="AZ79" s="35">
        <f>$AZ$71/$BE$56*BB56</f>
        <v>18000000</v>
      </c>
      <c r="BA79" s="35">
        <f>$AZ$71/$BE$56*BC56</f>
        <v>24000000</v>
      </c>
      <c r="BB79" s="35">
        <f>$AZ$71/$BE$56*BD56</f>
        <v>30000000</v>
      </c>
      <c r="BC79" s="56"/>
      <c r="BD79" s="385" t="s">
        <v>381</v>
      </c>
      <c r="BE79" s="35">
        <f>BA55*4000/BA54</f>
        <v>3200</v>
      </c>
      <c r="BF79" s="35">
        <f>BB55*4000/BB54</f>
        <v>1600</v>
      </c>
      <c r="BG79" s="35">
        <f>BC55*4000/BC54</f>
        <v>1200</v>
      </c>
      <c r="BH79" s="35">
        <f>BD55*4000/BD54</f>
        <v>240</v>
      </c>
      <c r="BI79" s="56"/>
      <c r="BJ79" s="160"/>
    </row>
    <row r="80" spans="30:62" ht="12.75">
      <c r="AD80" s="300"/>
      <c r="AE80" s="301">
        <v>3</v>
      </c>
      <c r="AF80" s="609" t="s">
        <v>406</v>
      </c>
      <c r="AG80" s="609"/>
      <c r="AH80" s="609"/>
      <c r="AI80" s="609"/>
      <c r="AJ80" s="609"/>
      <c r="AK80" s="610"/>
      <c r="AL80" s="56"/>
      <c r="AM80" s="56"/>
      <c r="AN80" s="56"/>
      <c r="AO80" s="56"/>
      <c r="AP80" s="56"/>
      <c r="AQ80" s="56"/>
      <c r="AR80" s="160"/>
      <c r="AT80" s="159"/>
      <c r="AU80" s="56"/>
      <c r="AV80" s="56"/>
      <c r="AW80" s="56"/>
      <c r="AX80" s="35" t="str">
        <f>AV48</f>
        <v>مدیریت قطعات </v>
      </c>
      <c r="AY80" s="35">
        <f>$AZ$72/$BE$57*BA57</f>
        <v>6000000</v>
      </c>
      <c r="AZ80" s="35">
        <f>$AZ$72/$BE$57*BB57</f>
        <v>27000000</v>
      </c>
      <c r="BA80" s="35">
        <f>$AZ$72/$BE$57*BC57</f>
        <v>60000000</v>
      </c>
      <c r="BB80" s="35">
        <f>$AZ$72/$BE$57*BD57</f>
        <v>33000000</v>
      </c>
      <c r="BC80" s="56"/>
      <c r="BD80" s="385" t="s">
        <v>309</v>
      </c>
      <c r="BE80" s="35">
        <f>AY85</f>
        <v>14800</v>
      </c>
      <c r="BF80" s="35">
        <f>AZ85</f>
        <v>17300</v>
      </c>
      <c r="BG80" s="35">
        <f>BA85</f>
        <v>9120</v>
      </c>
      <c r="BH80" s="35">
        <f>BB85</f>
        <v>1650</v>
      </c>
      <c r="BI80" s="56"/>
      <c r="BJ80" s="160"/>
    </row>
    <row r="81" spans="30:62" ht="13.5" thickBot="1">
      <c r="AD81" s="159"/>
      <c r="AE81" s="56"/>
      <c r="AF81" s="56"/>
      <c r="AG81" s="56"/>
      <c r="AH81" s="56"/>
      <c r="AI81" s="56"/>
      <c r="AJ81" s="56"/>
      <c r="AK81" s="56"/>
      <c r="AL81" s="56"/>
      <c r="AM81" s="56"/>
      <c r="AN81" s="178"/>
      <c r="AO81" s="56"/>
      <c r="AP81" s="56"/>
      <c r="AQ81" s="56"/>
      <c r="AR81" s="160"/>
      <c r="AT81" s="159"/>
      <c r="AU81" s="56"/>
      <c r="AV81" s="56"/>
      <c r="AW81" s="56"/>
      <c r="AX81" s="35" t="str">
        <f>AV49</f>
        <v>پرس کاری </v>
      </c>
      <c r="AY81" s="35">
        <f>$AZ$73/$BE$58*BA58</f>
        <v>0</v>
      </c>
      <c r="AZ81" s="35">
        <f>$AZ$73/$BE$58*BB58</f>
        <v>270000000</v>
      </c>
      <c r="BA81" s="35">
        <f>$AZ$73/$BE$58*BC58</f>
        <v>117000000</v>
      </c>
      <c r="BB81" s="35">
        <f>$AZ$73/$BE$58*BD58</f>
        <v>0</v>
      </c>
      <c r="BC81" s="56"/>
      <c r="BD81" s="386" t="s">
        <v>59</v>
      </c>
      <c r="BE81" s="115">
        <f>SUM(BE78:BE80)</f>
        <v>30000</v>
      </c>
      <c r="BF81" s="115">
        <f>SUM(BF78:BF80)</f>
        <v>23300</v>
      </c>
      <c r="BG81" s="115">
        <f>SUM(BG78:BG80)</f>
        <v>12680</v>
      </c>
      <c r="BH81" s="115">
        <f>SUM(BH78:BH80)</f>
        <v>2990</v>
      </c>
      <c r="BI81" s="56"/>
      <c r="BJ81" s="160"/>
    </row>
    <row r="82" spans="30:62" ht="12.75">
      <c r="AD82" s="174"/>
      <c r="AE82" s="593" t="s">
        <v>383</v>
      </c>
      <c r="AF82" s="594"/>
      <c r="AG82" s="594"/>
      <c r="AH82" s="594"/>
      <c r="AI82" s="594"/>
      <c r="AJ82" s="594"/>
      <c r="AK82" s="594"/>
      <c r="AL82" s="594"/>
      <c r="AM82" s="594"/>
      <c r="AN82" s="56"/>
      <c r="AO82" s="158"/>
      <c r="AP82" s="56"/>
      <c r="AQ82" s="56"/>
      <c r="AR82" s="160"/>
      <c r="AT82" s="159"/>
      <c r="AU82" s="56"/>
      <c r="AV82" s="56"/>
      <c r="AW82" s="56"/>
      <c r="AX82" s="35" t="str">
        <f>AV50</f>
        <v>عمومی کارخانه</v>
      </c>
      <c r="AY82" s="35">
        <f>$AZ$74/$BE$59*BA59</f>
        <v>80000000</v>
      </c>
      <c r="AZ82" s="35">
        <f>$AZ$74/$BE$59*BB59</f>
        <v>120000000</v>
      </c>
      <c r="BA82" s="35">
        <f>$AZ$74/$BE$59*BC59</f>
        <v>150000000</v>
      </c>
      <c r="BB82" s="35">
        <f>$AZ$74/$BE$59*BD59</f>
        <v>60000000</v>
      </c>
      <c r="BC82" s="56"/>
      <c r="BD82" s="56"/>
      <c r="BE82" s="56"/>
      <c r="BF82" s="56"/>
      <c r="BG82" s="56"/>
      <c r="BH82" s="56"/>
      <c r="BI82" s="56"/>
      <c r="BJ82" s="160"/>
    </row>
    <row r="83" spans="30:62" ht="13.5" thickBot="1">
      <c r="AD83" s="159"/>
      <c r="AE83" s="595" t="s">
        <v>384</v>
      </c>
      <c r="AF83" s="596"/>
      <c r="AG83" s="596"/>
      <c r="AH83" s="596"/>
      <c r="AI83" s="596"/>
      <c r="AJ83" s="596"/>
      <c r="AK83" s="596"/>
      <c r="AL83" s="596"/>
      <c r="AM83" s="596"/>
      <c r="AN83" s="56"/>
      <c r="AO83" s="160"/>
      <c r="AP83" s="56"/>
      <c r="AQ83" s="56"/>
      <c r="AR83" s="160"/>
      <c r="AT83" s="159"/>
      <c r="AU83" s="56"/>
      <c r="AV83" s="56"/>
      <c r="AW83" s="56"/>
      <c r="AX83" s="115" t="s">
        <v>59</v>
      </c>
      <c r="AY83" s="115">
        <f>SUM(AY78:AY82)</f>
        <v>148000000</v>
      </c>
      <c r="AZ83" s="115">
        <f>SUM(AZ78:AZ82)</f>
        <v>519000000</v>
      </c>
      <c r="BA83" s="115">
        <f>SUM(BA78:BA82)</f>
        <v>456000000</v>
      </c>
      <c r="BB83" s="115">
        <f>SUM(BB78:BB82)</f>
        <v>165000000</v>
      </c>
      <c r="BC83" s="56"/>
      <c r="BD83" s="56"/>
      <c r="BE83" s="56"/>
      <c r="BF83" s="56"/>
      <c r="BG83" s="56"/>
      <c r="BH83" s="56"/>
      <c r="BI83" s="56"/>
      <c r="BJ83" s="160"/>
    </row>
    <row r="84" spans="30:62" ht="12.75">
      <c r="AD84" s="159"/>
      <c r="AE84" s="279" t="s">
        <v>385</v>
      </c>
      <c r="AF84" s="280"/>
      <c r="AG84" s="302"/>
      <c r="AH84" s="597">
        <v>0.8</v>
      </c>
      <c r="AI84" s="598"/>
      <c r="AJ84" s="599">
        <v>0.87</v>
      </c>
      <c r="AK84" s="600"/>
      <c r="AL84" s="601">
        <v>1</v>
      </c>
      <c r="AM84" s="602"/>
      <c r="AN84" s="56"/>
      <c r="AO84" s="160"/>
      <c r="AP84" s="56"/>
      <c r="AQ84" s="56"/>
      <c r="AR84" s="160"/>
      <c r="AT84" s="159"/>
      <c r="AU84" s="56"/>
      <c r="AV84" s="56"/>
      <c r="AW84" s="56"/>
      <c r="AX84" s="225" t="str">
        <f>AY54</f>
        <v>تولید</v>
      </c>
      <c r="AY84" s="225">
        <f>BA54</f>
        <v>10000</v>
      </c>
      <c r="AZ84" s="225">
        <f>BB54</f>
        <v>30000</v>
      </c>
      <c r="BA84" s="225">
        <f>BC54</f>
        <v>50000</v>
      </c>
      <c r="BB84" s="225">
        <f>BD54</f>
        <v>100000</v>
      </c>
      <c r="BC84" s="56"/>
      <c r="BD84" s="56"/>
      <c r="BE84" s="56"/>
      <c r="BF84" s="56"/>
      <c r="BG84" s="56"/>
      <c r="BH84" s="56"/>
      <c r="BI84" s="56"/>
      <c r="BJ84" s="160"/>
    </row>
    <row r="85" spans="30:62" ht="12.75">
      <c r="AD85" s="159"/>
      <c r="AE85" s="289" t="s">
        <v>386</v>
      </c>
      <c r="AF85" s="290"/>
      <c r="AG85" s="303"/>
      <c r="AH85" s="584">
        <v>2000</v>
      </c>
      <c r="AI85" s="585"/>
      <c r="AJ85" s="586">
        <f>AJ84*AL85</f>
        <v>2175</v>
      </c>
      <c r="AK85" s="587"/>
      <c r="AL85" s="588">
        <v>2500</v>
      </c>
      <c r="AM85" s="589"/>
      <c r="AN85" s="56"/>
      <c r="AO85" s="160"/>
      <c r="AP85" s="56"/>
      <c r="AQ85" s="56"/>
      <c r="AR85" s="160"/>
      <c r="AT85" s="159"/>
      <c r="AU85" s="56"/>
      <c r="AV85" s="56"/>
      <c r="AW85" s="56"/>
      <c r="AX85" s="115" t="s">
        <v>549</v>
      </c>
      <c r="AY85" s="115">
        <f>AY83/AY84</f>
        <v>14800</v>
      </c>
      <c r="AZ85" s="115">
        <f>AZ83/AZ84</f>
        <v>17300</v>
      </c>
      <c r="BA85" s="115">
        <f>BA83/BA84</f>
        <v>9120</v>
      </c>
      <c r="BB85" s="115">
        <f>BB83/BB84</f>
        <v>1650</v>
      </c>
      <c r="BC85" s="56"/>
      <c r="BD85" s="56"/>
      <c r="BE85" s="56"/>
      <c r="BF85" s="56"/>
      <c r="BG85" s="56"/>
      <c r="BH85" s="56"/>
      <c r="BI85" s="56"/>
      <c r="BJ85" s="160"/>
    </row>
    <row r="86" spans="30:62" ht="12.75">
      <c r="AD86" s="159"/>
      <c r="AE86" s="30"/>
      <c r="AF86" s="30"/>
      <c r="AG86" s="30"/>
      <c r="AH86" s="304" t="s">
        <v>407</v>
      </c>
      <c r="AI86" s="305" t="s">
        <v>408</v>
      </c>
      <c r="AJ86" s="306" t="s">
        <v>407</v>
      </c>
      <c r="AK86" s="307" t="s">
        <v>408</v>
      </c>
      <c r="AL86" s="308" t="s">
        <v>407</v>
      </c>
      <c r="AM86" s="251" t="s">
        <v>408</v>
      </c>
      <c r="AN86" s="56"/>
      <c r="AO86" s="160"/>
      <c r="AP86" s="56"/>
      <c r="AQ86" s="56"/>
      <c r="AR86" s="160"/>
      <c r="AT86" s="159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160"/>
    </row>
    <row r="87" spans="30:62" ht="12.75">
      <c r="AD87" s="159"/>
      <c r="AE87" s="188" t="s">
        <v>392</v>
      </c>
      <c r="AF87" s="182"/>
      <c r="AG87" s="182"/>
      <c r="AH87" s="309">
        <f>AH64</f>
        <v>50000</v>
      </c>
      <c r="AI87" s="182"/>
      <c r="AJ87" s="310">
        <f>AH87</f>
        <v>50000</v>
      </c>
      <c r="AK87" s="311"/>
      <c r="AL87" s="312">
        <f>AJ64</f>
        <v>50000</v>
      </c>
      <c r="AM87" s="183"/>
      <c r="AN87" s="56"/>
      <c r="AO87" s="160"/>
      <c r="AP87" s="56"/>
      <c r="AQ87" s="56"/>
      <c r="AR87" s="160"/>
      <c r="AT87" s="159"/>
      <c r="AU87" s="56"/>
      <c r="AV87" s="56"/>
      <c r="AW87" s="56" t="s">
        <v>550</v>
      </c>
      <c r="AX87" s="55" t="s">
        <v>360</v>
      </c>
      <c r="AY87" s="55" t="s">
        <v>60</v>
      </c>
      <c r="AZ87" s="55" t="s">
        <v>552</v>
      </c>
      <c r="BA87" s="55" t="s">
        <v>553</v>
      </c>
      <c r="BB87" s="56"/>
      <c r="BC87" s="56"/>
      <c r="BD87" s="56"/>
      <c r="BE87" s="56"/>
      <c r="BF87" s="56"/>
      <c r="BG87" s="56"/>
      <c r="BH87" s="56"/>
      <c r="BI87" s="56"/>
      <c r="BJ87" s="160"/>
    </row>
    <row r="88" spans="30:62" ht="12.75">
      <c r="AD88" s="159"/>
      <c r="AE88" s="189" t="s">
        <v>393</v>
      </c>
      <c r="AF88" s="30"/>
      <c r="AG88" s="30"/>
      <c r="AH88" s="211">
        <f>AH65-AI88</f>
        <v>75000</v>
      </c>
      <c r="AI88" s="30">
        <f>AM65*AH85</f>
        <v>60000</v>
      </c>
      <c r="AJ88" s="310">
        <f aca="true" t="shared" si="5" ref="AJ88:AJ95">AH88</f>
        <v>75000</v>
      </c>
      <c r="AK88" s="311">
        <f>AM65*AJ85</f>
        <v>65250</v>
      </c>
      <c r="AL88" s="184">
        <f>AJ65-AM88</f>
        <v>75000</v>
      </c>
      <c r="AM88" s="184">
        <f>AM65*$AL$85</f>
        <v>75000</v>
      </c>
      <c r="AN88" s="56"/>
      <c r="AO88" s="160"/>
      <c r="AP88" s="56"/>
      <c r="AQ88" s="56"/>
      <c r="AR88" s="160"/>
      <c r="AT88" s="159"/>
      <c r="AU88" s="56"/>
      <c r="AV88" s="56"/>
      <c r="AW88" s="56"/>
      <c r="AX88" s="225" t="str">
        <f>AY$77</f>
        <v>A</v>
      </c>
      <c r="AY88" s="225">
        <f>BE81</f>
        <v>30000</v>
      </c>
      <c r="AZ88" s="225">
        <f>AY88*0.25</f>
        <v>7500</v>
      </c>
      <c r="BA88" s="225">
        <f>AY88+AZ88</f>
        <v>37500</v>
      </c>
      <c r="BB88" s="56"/>
      <c r="BC88" s="56"/>
      <c r="BD88" s="56"/>
      <c r="BE88" s="56"/>
      <c r="BF88" s="56"/>
      <c r="BG88" s="56"/>
      <c r="BH88" s="56"/>
      <c r="BI88" s="56"/>
      <c r="BJ88" s="160"/>
    </row>
    <row r="89" spans="30:62" ht="12.75">
      <c r="AD89" s="159"/>
      <c r="AE89" s="189" t="s">
        <v>394</v>
      </c>
      <c r="AF89" s="30"/>
      <c r="AG89" s="30"/>
      <c r="AH89" s="211">
        <f>AH66-AI89</f>
        <v>50000</v>
      </c>
      <c r="AI89" s="30">
        <f>AM66*AH85</f>
        <v>20000</v>
      </c>
      <c r="AJ89" s="310">
        <f t="shared" si="5"/>
        <v>50000</v>
      </c>
      <c r="AK89" s="311">
        <f>AM66*AJ85</f>
        <v>21750</v>
      </c>
      <c r="AL89" s="184">
        <f>AJ66-AM89</f>
        <v>50000</v>
      </c>
      <c r="AM89" s="184">
        <f>AM66*$AL$85</f>
        <v>25000</v>
      </c>
      <c r="AN89" s="56"/>
      <c r="AO89" s="160"/>
      <c r="AP89" s="56"/>
      <c r="AQ89" s="56"/>
      <c r="AR89" s="160"/>
      <c r="AT89" s="159"/>
      <c r="AU89" s="56"/>
      <c r="AV89" s="56"/>
      <c r="AW89" s="56"/>
      <c r="AX89" s="225" t="str">
        <f>AZ77</f>
        <v>B</v>
      </c>
      <c r="AY89" s="225">
        <f>BF81</f>
        <v>23300</v>
      </c>
      <c r="AZ89" s="225">
        <f>AY89*0.25</f>
        <v>5825</v>
      </c>
      <c r="BA89" s="225">
        <f>AY89+AZ89</f>
        <v>29125</v>
      </c>
      <c r="BB89" s="56"/>
      <c r="BC89" s="56"/>
      <c r="BD89" s="56"/>
      <c r="BE89" s="56"/>
      <c r="BF89" s="56"/>
      <c r="BG89" s="56"/>
      <c r="BH89" s="56"/>
      <c r="BI89" s="56"/>
      <c r="BJ89" s="160"/>
    </row>
    <row r="90" spans="30:62" ht="12.75">
      <c r="AD90" s="159"/>
      <c r="AE90" s="189" t="s">
        <v>395</v>
      </c>
      <c r="AF90" s="30"/>
      <c r="AG90" s="30"/>
      <c r="AH90" s="211">
        <f>AH67-AI90</f>
        <v>15000</v>
      </c>
      <c r="AI90" s="30">
        <f>AM67*AH85</f>
        <v>28000</v>
      </c>
      <c r="AJ90" s="310">
        <f t="shared" si="5"/>
        <v>15000</v>
      </c>
      <c r="AK90" s="311">
        <f>AM67*AJ85</f>
        <v>30450</v>
      </c>
      <c r="AL90" s="184">
        <f>AJ67-AM90</f>
        <v>15000</v>
      </c>
      <c r="AM90" s="184">
        <f>AM67*$AL$85</f>
        <v>35000</v>
      </c>
      <c r="AN90" s="56"/>
      <c r="AO90" s="160"/>
      <c r="AP90" s="56"/>
      <c r="AQ90" s="56"/>
      <c r="AR90" s="160"/>
      <c r="AT90" s="159"/>
      <c r="AU90" s="56"/>
      <c r="AV90" s="56"/>
      <c r="AW90" s="56"/>
      <c r="AX90" s="225" t="str">
        <f>BA77</f>
        <v>C</v>
      </c>
      <c r="AY90" s="225">
        <f>BG81</f>
        <v>12680</v>
      </c>
      <c r="AZ90" s="225">
        <f>AY90*0.25</f>
        <v>3170</v>
      </c>
      <c r="BA90" s="225">
        <f>AY90+AZ90</f>
        <v>15850</v>
      </c>
      <c r="BB90" s="56"/>
      <c r="BC90" s="56"/>
      <c r="BD90" s="56"/>
      <c r="BE90" s="56"/>
      <c r="BF90" s="56"/>
      <c r="BG90" s="56"/>
      <c r="BH90" s="56"/>
      <c r="BI90" s="56"/>
      <c r="BJ90" s="160"/>
    </row>
    <row r="91" spans="30:62" ht="12.75">
      <c r="AD91" s="159"/>
      <c r="AE91" s="189" t="s">
        <v>396</v>
      </c>
      <c r="AF91" s="30"/>
      <c r="AG91" s="30"/>
      <c r="AH91" s="313">
        <f>AH68</f>
        <v>50000</v>
      </c>
      <c r="AI91" s="30"/>
      <c r="AJ91" s="310">
        <f t="shared" si="5"/>
        <v>50000</v>
      </c>
      <c r="AK91" s="311"/>
      <c r="AL91" s="314">
        <f>AJ68</f>
        <v>50000</v>
      </c>
      <c r="AM91" s="184"/>
      <c r="AN91" s="56"/>
      <c r="AO91" s="160"/>
      <c r="AP91" s="56"/>
      <c r="AQ91" s="56"/>
      <c r="AR91" s="160"/>
      <c r="AT91" s="159"/>
      <c r="AU91" s="56"/>
      <c r="AV91" s="56"/>
      <c r="AW91" s="56"/>
      <c r="AX91" s="225" t="str">
        <f>BB77</f>
        <v>D</v>
      </c>
      <c r="AY91" s="225">
        <f>BH81</f>
        <v>2990</v>
      </c>
      <c r="AZ91" s="225">
        <f>AY91*0.25</f>
        <v>747.5</v>
      </c>
      <c r="BA91" s="225">
        <f>AY91+AZ91</f>
        <v>3737.5</v>
      </c>
      <c r="BB91" s="56"/>
      <c r="BC91" s="56"/>
      <c r="BD91" s="56"/>
      <c r="BE91" s="56"/>
      <c r="BF91" s="56"/>
      <c r="BG91" s="56"/>
      <c r="BH91" s="56"/>
      <c r="BI91" s="56"/>
      <c r="BJ91" s="160"/>
    </row>
    <row r="92" spans="30:62" ht="12.75">
      <c r="AD92" s="159"/>
      <c r="AE92" s="189" t="s">
        <v>397</v>
      </c>
      <c r="AF92" s="30"/>
      <c r="AG92" s="30"/>
      <c r="AH92" s="313">
        <f>AH69</f>
        <v>25000</v>
      </c>
      <c r="AI92" s="30"/>
      <c r="AJ92" s="310">
        <f t="shared" si="5"/>
        <v>25000</v>
      </c>
      <c r="AK92" s="315"/>
      <c r="AL92" s="314">
        <f>AJ69</f>
        <v>25000</v>
      </c>
      <c r="AM92" s="211"/>
      <c r="AN92" s="56"/>
      <c r="AO92" s="160"/>
      <c r="AP92" s="56"/>
      <c r="AQ92" s="56"/>
      <c r="AR92" s="160"/>
      <c r="AT92" s="159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160"/>
    </row>
    <row r="93" spans="30:62" ht="12.75">
      <c r="AD93" s="159"/>
      <c r="AE93" s="189" t="s">
        <v>398</v>
      </c>
      <c r="AF93" s="30"/>
      <c r="AG93" s="30"/>
      <c r="AH93" s="313">
        <f>AH70</f>
        <v>20000</v>
      </c>
      <c r="AI93" s="30"/>
      <c r="AJ93" s="310">
        <f t="shared" si="5"/>
        <v>20000</v>
      </c>
      <c r="AK93" s="315"/>
      <c r="AL93" s="314">
        <f>AJ70</f>
        <v>20000</v>
      </c>
      <c r="AM93" s="211"/>
      <c r="AN93" s="56"/>
      <c r="AO93" s="160"/>
      <c r="AP93" s="56"/>
      <c r="AQ93" s="56"/>
      <c r="AR93" s="160"/>
      <c r="AT93" s="159"/>
      <c r="AU93" s="56"/>
      <c r="AV93" s="56"/>
      <c r="AW93" s="56" t="s">
        <v>551</v>
      </c>
      <c r="AX93" s="252" t="str">
        <f>BD77</f>
        <v>شرح</v>
      </c>
      <c r="AY93" s="252" t="str">
        <f>AY77</f>
        <v>A</v>
      </c>
      <c r="AZ93" s="252" t="str">
        <f>AZ77</f>
        <v>B</v>
      </c>
      <c r="BA93" s="252" t="str">
        <f>BA77</f>
        <v>C</v>
      </c>
      <c r="BB93" s="252" t="str">
        <f>BB77</f>
        <v>D</v>
      </c>
      <c r="BC93" s="56"/>
      <c r="BD93" s="56"/>
      <c r="BE93" s="56"/>
      <c r="BF93" s="56"/>
      <c r="BG93" s="56"/>
      <c r="BH93" s="56"/>
      <c r="BI93" s="56"/>
      <c r="BJ93" s="160"/>
    </row>
    <row r="94" spans="30:62" ht="12.75">
      <c r="AD94" s="159"/>
      <c r="AE94" s="189" t="s">
        <v>399</v>
      </c>
      <c r="AF94" s="30"/>
      <c r="AG94" s="30"/>
      <c r="AH94" s="211">
        <f>AH71-AI94</f>
        <v>30000</v>
      </c>
      <c r="AI94" s="30">
        <f>AM69*AH85</f>
        <v>8000</v>
      </c>
      <c r="AJ94" s="310">
        <f t="shared" si="5"/>
        <v>30000</v>
      </c>
      <c r="AK94" s="311">
        <f>AM69*AJ85</f>
        <v>8700</v>
      </c>
      <c r="AL94" s="184">
        <f>AJ71-AM94</f>
        <v>30000</v>
      </c>
      <c r="AM94" s="184">
        <f>AM69*$AL$85</f>
        <v>10000</v>
      </c>
      <c r="AN94" s="56"/>
      <c r="AO94" s="160"/>
      <c r="AP94" s="56"/>
      <c r="AQ94" s="56"/>
      <c r="AR94" s="160"/>
      <c r="AT94" s="159"/>
      <c r="AU94" s="56"/>
      <c r="AV94" s="56"/>
      <c r="AW94" s="56"/>
      <c r="AX94" s="225" t="str">
        <f>BD78</f>
        <v>مواد مستقیم</v>
      </c>
      <c r="AY94" s="225">
        <f aca="true" t="shared" si="6" ref="AY94:BB95">BE78</f>
        <v>12000</v>
      </c>
      <c r="AZ94" s="225">
        <f t="shared" si="6"/>
        <v>4400</v>
      </c>
      <c r="BA94" s="225">
        <f t="shared" si="6"/>
        <v>2360</v>
      </c>
      <c r="BB94" s="225">
        <f t="shared" si="6"/>
        <v>1100</v>
      </c>
      <c r="BC94" s="56"/>
      <c r="BD94" s="56"/>
      <c r="BE94" s="56"/>
      <c r="BF94" s="56"/>
      <c r="BG94" s="56"/>
      <c r="BH94" s="56"/>
      <c r="BI94" s="56"/>
      <c r="BJ94" s="160"/>
    </row>
    <row r="95" spans="30:62" ht="12.75">
      <c r="AD95" s="159"/>
      <c r="AE95" s="189" t="s">
        <v>400</v>
      </c>
      <c r="AF95" s="30"/>
      <c r="AG95" s="30"/>
      <c r="AH95" s="211">
        <f>AH72-AI95</f>
        <v>20000</v>
      </c>
      <c r="AI95" s="30">
        <f>AM70*AH85</f>
        <v>16000</v>
      </c>
      <c r="AJ95" s="310">
        <f t="shared" si="5"/>
        <v>20000</v>
      </c>
      <c r="AK95" s="311">
        <f>AM70*AJ85</f>
        <v>17400</v>
      </c>
      <c r="AL95" s="184">
        <f>AJ72-AM95</f>
        <v>20000</v>
      </c>
      <c r="AM95" s="184">
        <f>AM70*$AL$85</f>
        <v>20000</v>
      </c>
      <c r="AN95" s="56"/>
      <c r="AO95" s="160"/>
      <c r="AP95" s="56"/>
      <c r="AQ95" s="56"/>
      <c r="AR95" s="160"/>
      <c r="AT95" s="159"/>
      <c r="AU95" s="56"/>
      <c r="AV95" s="56"/>
      <c r="AW95" s="56"/>
      <c r="AX95" s="225" t="str">
        <f>BD79</f>
        <v>دستمزد</v>
      </c>
      <c r="AY95" s="225">
        <f t="shared" si="6"/>
        <v>3200</v>
      </c>
      <c r="AZ95" s="225">
        <f t="shared" si="6"/>
        <v>1600</v>
      </c>
      <c r="BA95" s="225">
        <f t="shared" si="6"/>
        <v>1200</v>
      </c>
      <c r="BB95" s="225">
        <f t="shared" si="6"/>
        <v>240</v>
      </c>
      <c r="BC95" s="56"/>
      <c r="BD95" s="56"/>
      <c r="BE95" s="56"/>
      <c r="BF95" s="56"/>
      <c r="BG95" s="56"/>
      <c r="BH95" s="56"/>
      <c r="BI95" s="56"/>
      <c r="BJ95" s="160"/>
    </row>
    <row r="96" spans="30:62" ht="13.5" thickBot="1">
      <c r="AD96" s="159"/>
      <c r="AE96" s="189" t="s">
        <v>401</v>
      </c>
      <c r="AF96" s="30"/>
      <c r="AG96" s="30"/>
      <c r="AH96" s="222">
        <f aca="true" t="shared" si="7" ref="AH96:AM96">SUM(AH87:AH95)</f>
        <v>335000</v>
      </c>
      <c r="AI96" s="316">
        <f t="shared" si="7"/>
        <v>132000</v>
      </c>
      <c r="AJ96" s="317">
        <f t="shared" si="7"/>
        <v>335000</v>
      </c>
      <c r="AK96" s="318">
        <f t="shared" si="7"/>
        <v>143550</v>
      </c>
      <c r="AL96" s="245">
        <f t="shared" si="7"/>
        <v>335000</v>
      </c>
      <c r="AM96" s="245">
        <f t="shared" si="7"/>
        <v>165000</v>
      </c>
      <c r="AN96" s="56"/>
      <c r="AO96" s="160"/>
      <c r="AP96" s="56"/>
      <c r="AQ96" s="56"/>
      <c r="AR96" s="160"/>
      <c r="AT96" s="159"/>
      <c r="AU96" s="56"/>
      <c r="AV96" s="56"/>
      <c r="AW96" s="56"/>
      <c r="AX96" s="387" t="str">
        <f>BD80</f>
        <v>سربار</v>
      </c>
      <c r="AY96" s="387">
        <f>$AY$67/$AZ$46*BA55/BA54</f>
        <v>25000</v>
      </c>
      <c r="AZ96" s="387">
        <f>$AY$67/$AZ$46*BB55/BB54</f>
        <v>12500</v>
      </c>
      <c r="BA96" s="387">
        <f>$AY$67/$AZ$46*BC55/BC54</f>
        <v>9375</v>
      </c>
      <c r="BB96" s="387">
        <f>$AY$67/$AZ$46*BD55/BD54</f>
        <v>1875</v>
      </c>
      <c r="BC96" s="56"/>
      <c r="BD96" s="56"/>
      <c r="BE96" s="56"/>
      <c r="BF96" s="56"/>
      <c r="BG96" s="56"/>
      <c r="BH96" s="56"/>
      <c r="BI96" s="56"/>
      <c r="BJ96" s="160"/>
    </row>
    <row r="97" spans="30:62" ht="13.5" thickTop="1">
      <c r="AD97" s="159"/>
      <c r="AE97" s="189"/>
      <c r="AF97" s="30"/>
      <c r="AG97" s="30"/>
      <c r="AH97" s="211"/>
      <c r="AI97" s="189"/>
      <c r="AJ97" s="310"/>
      <c r="AK97" s="311"/>
      <c r="AL97" s="319"/>
      <c r="AM97" s="184"/>
      <c r="AN97" s="56"/>
      <c r="AO97" s="160"/>
      <c r="AP97" s="56"/>
      <c r="AQ97" s="56"/>
      <c r="AR97" s="160"/>
      <c r="AT97" s="159"/>
      <c r="AU97" s="56"/>
      <c r="AV97" s="56"/>
      <c r="AW97" s="56"/>
      <c r="AX97" s="252"/>
      <c r="AY97" s="252">
        <f>SUM(AY94:AY96)</f>
        <v>40200</v>
      </c>
      <c r="AZ97" s="252">
        <f>SUM(AZ94:AZ96)</f>
        <v>18500</v>
      </c>
      <c r="BA97" s="252">
        <f>SUM(BA94:BA96)</f>
        <v>12935</v>
      </c>
      <c r="BB97" s="252">
        <f>SUM(BB94:BB96)</f>
        <v>3215</v>
      </c>
      <c r="BC97" s="56"/>
      <c r="BD97" s="56"/>
      <c r="BE97" s="56"/>
      <c r="BF97" s="56"/>
      <c r="BG97" s="56"/>
      <c r="BH97" s="56"/>
      <c r="BI97" s="56"/>
      <c r="BJ97" s="160"/>
    </row>
    <row r="98" spans="30:62" ht="13.5" thickBot="1">
      <c r="AD98" s="159"/>
      <c r="AE98" s="590"/>
      <c r="AF98" s="591"/>
      <c r="AG98" s="592"/>
      <c r="AH98" s="320">
        <f>AH96/AH85</f>
        <v>167.5</v>
      </c>
      <c r="AI98" s="321">
        <f>AI96/AH85</f>
        <v>66</v>
      </c>
      <c r="AJ98" s="322">
        <f>AJ96/AJ85</f>
        <v>154.02298850574712</v>
      </c>
      <c r="AK98" s="323">
        <f>AK96/AJ85</f>
        <v>66</v>
      </c>
      <c r="AL98" s="324">
        <f>AL96/AL85</f>
        <v>134</v>
      </c>
      <c r="AM98" s="325">
        <f>AM96/AL85</f>
        <v>66</v>
      </c>
      <c r="AN98" s="56"/>
      <c r="AO98" s="160"/>
      <c r="AP98" s="56"/>
      <c r="AQ98" s="56"/>
      <c r="AR98" s="160"/>
      <c r="AT98" s="159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160"/>
    </row>
    <row r="99" spans="30:62" ht="14.25" thickBot="1" thickTop="1">
      <c r="AD99" s="159"/>
      <c r="AE99" s="578" t="s">
        <v>402</v>
      </c>
      <c r="AF99" s="579"/>
      <c r="AG99" s="580"/>
      <c r="AH99" s="581">
        <f>AI98+AH98</f>
        <v>233.5</v>
      </c>
      <c r="AI99" s="578"/>
      <c r="AJ99" s="582">
        <f>AK98+AJ98</f>
        <v>220.02298850574712</v>
      </c>
      <c r="AK99" s="583"/>
      <c r="AL99" s="580">
        <f>AM98+AL98</f>
        <v>200</v>
      </c>
      <c r="AM99" s="581"/>
      <c r="AN99" s="56"/>
      <c r="AO99" s="160"/>
      <c r="AP99" s="56"/>
      <c r="AQ99" s="56"/>
      <c r="AR99" s="160"/>
      <c r="AT99" s="177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9"/>
    </row>
    <row r="100" spans="30:44" ht="13.5" thickBot="1">
      <c r="AD100" s="177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9"/>
      <c r="AP100" s="178"/>
      <c r="AQ100" s="178"/>
      <c r="AR100" s="179"/>
    </row>
  </sheetData>
  <mergeCells count="186">
    <mergeCell ref="AY58:AZ58"/>
    <mergeCell ref="AY59:AZ59"/>
    <mergeCell ref="AY54:AZ54"/>
    <mergeCell ref="AY55:AZ55"/>
    <mergeCell ref="AY56:AZ56"/>
    <mergeCell ref="AY57:AZ57"/>
    <mergeCell ref="BB50:BC50"/>
    <mergeCell ref="AW53:AW54"/>
    <mergeCell ref="AV53:AV54"/>
    <mergeCell ref="AY53:AZ53"/>
    <mergeCell ref="BB46:BC46"/>
    <mergeCell ref="BB47:BC47"/>
    <mergeCell ref="BB48:BC48"/>
    <mergeCell ref="BB49:BC49"/>
    <mergeCell ref="BD44:BD45"/>
    <mergeCell ref="BE44:BE45"/>
    <mergeCell ref="AV49:AW49"/>
    <mergeCell ref="AV50:AW50"/>
    <mergeCell ref="AV48:AW48"/>
    <mergeCell ref="AX44:AX45"/>
    <mergeCell ref="AY44:AY45"/>
    <mergeCell ref="AZ44:AZ45"/>
    <mergeCell ref="AV44:AW45"/>
    <mergeCell ref="BB44:BC45"/>
    <mergeCell ref="AV41:AW42"/>
    <mergeCell ref="AV46:AW46"/>
    <mergeCell ref="AV47:AW47"/>
    <mergeCell ref="BE17:BF17"/>
    <mergeCell ref="BE18:BF18"/>
    <mergeCell ref="BE19:BF19"/>
    <mergeCell ref="BE20:BF20"/>
    <mergeCell ref="BE21:BF21"/>
    <mergeCell ref="BE22:BF22"/>
    <mergeCell ref="BE23:BF23"/>
    <mergeCell ref="AY16:AZ16"/>
    <mergeCell ref="AY17:AZ17"/>
    <mergeCell ref="BE13:BF13"/>
    <mergeCell ref="BE14:BF14"/>
    <mergeCell ref="BE15:BF15"/>
    <mergeCell ref="BE16:BF16"/>
    <mergeCell ref="AY13:AZ13"/>
    <mergeCell ref="AY14:AZ14"/>
    <mergeCell ref="AY15:AZ15"/>
    <mergeCell ref="BE9:BF9"/>
    <mergeCell ref="BE10:BF10"/>
    <mergeCell ref="BE11:BF11"/>
    <mergeCell ref="BE12:BF12"/>
    <mergeCell ref="BE5:BF5"/>
    <mergeCell ref="BE6:BF6"/>
    <mergeCell ref="BE7:BF7"/>
    <mergeCell ref="BE8:BF8"/>
    <mergeCell ref="AU3:AV4"/>
    <mergeCell ref="AY5:BB5"/>
    <mergeCell ref="AV8:AW8"/>
    <mergeCell ref="AV12:AW12"/>
    <mergeCell ref="AY12:AZ12"/>
    <mergeCell ref="K7:N7"/>
    <mergeCell ref="K19:N19"/>
    <mergeCell ref="K8:N8"/>
    <mergeCell ref="K9:N9"/>
    <mergeCell ref="K10:N10"/>
    <mergeCell ref="K11:N11"/>
    <mergeCell ref="K12:N12"/>
    <mergeCell ref="K13:N13"/>
    <mergeCell ref="K14:N14"/>
    <mergeCell ref="K15:N15"/>
    <mergeCell ref="K16:N16"/>
    <mergeCell ref="K17:N17"/>
    <mergeCell ref="K18:N18"/>
    <mergeCell ref="G11:H11"/>
    <mergeCell ref="G6:H7"/>
    <mergeCell ref="G8:H8"/>
    <mergeCell ref="G9:H9"/>
    <mergeCell ref="G10:H10"/>
    <mergeCell ref="C3:D4"/>
    <mergeCell ref="F6:F7"/>
    <mergeCell ref="E6:E7"/>
    <mergeCell ref="D6:D7"/>
    <mergeCell ref="C6:C7"/>
    <mergeCell ref="C35:G35"/>
    <mergeCell ref="V30:W30"/>
    <mergeCell ref="S29:AA29"/>
    <mergeCell ref="K40:O40"/>
    <mergeCell ref="C31:G31"/>
    <mergeCell ref="C32:G32"/>
    <mergeCell ref="C34:G34"/>
    <mergeCell ref="C33:G33"/>
    <mergeCell ref="C36:G36"/>
    <mergeCell ref="C38:F38"/>
    <mergeCell ref="C25:D26"/>
    <mergeCell ref="C28:G28"/>
    <mergeCell ref="C29:G29"/>
    <mergeCell ref="C30:G30"/>
    <mergeCell ref="C37:F37"/>
    <mergeCell ref="C39:G39"/>
    <mergeCell ref="C40:G40"/>
    <mergeCell ref="C41:F41"/>
    <mergeCell ref="C46:G46"/>
    <mergeCell ref="C47:G47"/>
    <mergeCell ref="K29:O29"/>
    <mergeCell ref="K35:L35"/>
    <mergeCell ref="K33:L33"/>
    <mergeCell ref="K36:L36"/>
    <mergeCell ref="C42:F42"/>
    <mergeCell ref="C43:F43"/>
    <mergeCell ref="C44:F44"/>
    <mergeCell ref="C45:G45"/>
    <mergeCell ref="C52:G52"/>
    <mergeCell ref="C48:F48"/>
    <mergeCell ref="C49:F49"/>
    <mergeCell ref="C50:F50"/>
    <mergeCell ref="C51:F51"/>
    <mergeCell ref="AH6:AH8"/>
    <mergeCell ref="AI6:AI8"/>
    <mergeCell ref="AK6:AN6"/>
    <mergeCell ref="AE7:AE8"/>
    <mergeCell ref="AF7:AF8"/>
    <mergeCell ref="AG7:AG8"/>
    <mergeCell ref="AG13:AI13"/>
    <mergeCell ref="AK13:AP13"/>
    <mergeCell ref="AK14:AM14"/>
    <mergeCell ref="AN14:AN15"/>
    <mergeCell ref="AO14:AO15"/>
    <mergeCell ref="AP14:AP15"/>
    <mergeCell ref="AK15:AM15"/>
    <mergeCell ref="AK16:AM16"/>
    <mergeCell ref="AK17:AM17"/>
    <mergeCell ref="AK18:AM18"/>
    <mergeCell ref="AK19:AM19"/>
    <mergeCell ref="AK20:AM20"/>
    <mergeCell ref="AG21:AG22"/>
    <mergeCell ref="AH21:AH22"/>
    <mergeCell ref="AK22:AQ22"/>
    <mergeCell ref="AK27:AL27"/>
    <mergeCell ref="AJ29:AQ29"/>
    <mergeCell ref="AJ30:AL30"/>
    <mergeCell ref="AJ31:AL31"/>
    <mergeCell ref="AJ32:AL32"/>
    <mergeCell ref="AJ33:AL33"/>
    <mergeCell ref="AJ34:AL34"/>
    <mergeCell ref="AJ35:AL35"/>
    <mergeCell ref="AJ42:AL42"/>
    <mergeCell ref="AJ43:AL43"/>
    <mergeCell ref="AJ45:AQ45"/>
    <mergeCell ref="AJ36:AL36"/>
    <mergeCell ref="AJ37:AL37"/>
    <mergeCell ref="AJ39:AQ39"/>
    <mergeCell ref="AJ40:AL40"/>
    <mergeCell ref="AJ50:AM50"/>
    <mergeCell ref="AJ51:AM51"/>
    <mergeCell ref="AE3:AF4"/>
    <mergeCell ref="AE59:AJ59"/>
    <mergeCell ref="AE56:AF57"/>
    <mergeCell ref="AJ46:AM46"/>
    <mergeCell ref="AJ47:AM47"/>
    <mergeCell ref="AJ48:AM48"/>
    <mergeCell ref="AJ49:AM49"/>
    <mergeCell ref="AJ41:AL41"/>
    <mergeCell ref="AE60:AJ60"/>
    <mergeCell ref="AM63:AM64"/>
    <mergeCell ref="AN63:AN64"/>
    <mergeCell ref="AO63:AO64"/>
    <mergeCell ref="AP63:AQ63"/>
    <mergeCell ref="AF78:AK78"/>
    <mergeCell ref="AF79:AK79"/>
    <mergeCell ref="AF80:AK80"/>
    <mergeCell ref="AE82:AM82"/>
    <mergeCell ref="AE83:AM83"/>
    <mergeCell ref="AH84:AI84"/>
    <mergeCell ref="AJ84:AK84"/>
    <mergeCell ref="AL84:AM84"/>
    <mergeCell ref="AH85:AI85"/>
    <mergeCell ref="AJ85:AK85"/>
    <mergeCell ref="AL85:AM85"/>
    <mergeCell ref="AE98:AG98"/>
    <mergeCell ref="AE99:AG99"/>
    <mergeCell ref="AH99:AI99"/>
    <mergeCell ref="AJ99:AK99"/>
    <mergeCell ref="AL99:AM99"/>
    <mergeCell ref="AY34:AZ34"/>
    <mergeCell ref="AY35:AZ35"/>
    <mergeCell ref="AY36:AZ36"/>
    <mergeCell ref="BE24:BF24"/>
    <mergeCell ref="BE25:BF25"/>
    <mergeCell ref="AY32:BC32"/>
    <mergeCell ref="AY33:AZ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O127"/>
  <sheetViews>
    <sheetView rightToLeft="1" zoomScale="85" zoomScaleNormal="85" workbookViewId="0" topLeftCell="Z1">
      <selection activeCell="AJ4" sqref="AJ4"/>
    </sheetView>
  </sheetViews>
  <sheetFormatPr defaultColWidth="9.140625" defaultRowHeight="12.75"/>
  <cols>
    <col min="30" max="30" width="10.28125" style="0" bestFit="1" customWidth="1"/>
    <col min="31" max="31" width="14.28125" style="0" bestFit="1" customWidth="1"/>
    <col min="35" max="36" width="11.57421875" style="0" bestFit="1" customWidth="1"/>
    <col min="37" max="37" width="11.421875" style="0" customWidth="1"/>
    <col min="38" max="38" width="10.00390625" style="0" customWidth="1"/>
  </cols>
  <sheetData>
    <row r="1" ht="13.5" thickBot="1"/>
    <row r="2" spans="2:27" ht="13.5" thickBot="1">
      <c r="B2" s="174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AA2" s="56"/>
    </row>
    <row r="3" spans="2:41" ht="12.75">
      <c r="B3" s="159"/>
      <c r="C3" s="620" t="s">
        <v>423</v>
      </c>
      <c r="D3" s="620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60"/>
      <c r="R3" s="174"/>
      <c r="S3" s="157"/>
      <c r="T3" s="157"/>
      <c r="U3" s="157"/>
      <c r="V3" s="157"/>
      <c r="W3" s="157"/>
      <c r="X3" s="157"/>
      <c r="Y3" s="157"/>
      <c r="Z3" s="158"/>
      <c r="AA3" s="56"/>
      <c r="AB3" s="174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8"/>
    </row>
    <row r="4" spans="2:41" ht="12.75">
      <c r="B4" s="159"/>
      <c r="C4" s="620"/>
      <c r="D4" s="620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60"/>
      <c r="R4" s="159"/>
      <c r="S4" s="620" t="s">
        <v>425</v>
      </c>
      <c r="T4" s="620"/>
      <c r="U4" s="56"/>
      <c r="V4" s="56"/>
      <c r="W4" s="56"/>
      <c r="X4" s="56"/>
      <c r="Y4" s="56"/>
      <c r="Z4" s="160"/>
      <c r="AA4" s="56"/>
      <c r="AB4" s="159"/>
      <c r="AC4" s="620" t="s">
        <v>426</v>
      </c>
      <c r="AD4" s="620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160"/>
    </row>
    <row r="5" spans="2:41" ht="12.75">
      <c r="B5" s="159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60"/>
      <c r="R5" s="159"/>
      <c r="S5" s="620"/>
      <c r="T5" s="620"/>
      <c r="U5" s="56"/>
      <c r="V5" s="56"/>
      <c r="W5" s="56"/>
      <c r="X5" s="56"/>
      <c r="Y5" s="56"/>
      <c r="Z5" s="160"/>
      <c r="AA5" s="56"/>
      <c r="AB5" s="159"/>
      <c r="AC5" s="620"/>
      <c r="AD5" s="620"/>
      <c r="AE5" s="56"/>
      <c r="AF5" s="56"/>
      <c r="AG5" s="55" t="s">
        <v>679</v>
      </c>
      <c r="AH5" s="55" t="s">
        <v>675</v>
      </c>
      <c r="AI5" s="55" t="s">
        <v>680</v>
      </c>
      <c r="AJ5" s="55" t="s">
        <v>683</v>
      </c>
      <c r="AK5" s="55" t="s">
        <v>671</v>
      </c>
      <c r="AL5" s="55" t="s">
        <v>684</v>
      </c>
      <c r="AM5" s="55" t="s">
        <v>685</v>
      </c>
      <c r="AN5" s="56"/>
      <c r="AO5" s="160"/>
    </row>
    <row r="6" spans="2:41" ht="13.5" thickBot="1">
      <c r="B6" s="159"/>
      <c r="C6" s="680" t="s">
        <v>614</v>
      </c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81"/>
      <c r="P6" s="160"/>
      <c r="R6" s="159"/>
      <c r="S6" s="56"/>
      <c r="T6" s="56"/>
      <c r="U6" s="56"/>
      <c r="V6" s="56"/>
      <c r="W6" s="56"/>
      <c r="X6" s="56"/>
      <c r="Y6" s="56"/>
      <c r="Z6" s="160"/>
      <c r="AA6" s="56"/>
      <c r="AB6" s="159"/>
      <c r="AC6" s="56"/>
      <c r="AD6" s="56"/>
      <c r="AE6" s="56"/>
      <c r="AF6" s="56"/>
      <c r="AG6" s="35">
        <v>1</v>
      </c>
      <c r="AH6" s="382">
        <f>$AE$15</f>
        <v>731880.8433650393</v>
      </c>
      <c r="AI6" s="35">
        <f>AE17</f>
        <v>87825701.20380472</v>
      </c>
      <c r="AJ6" s="435">
        <f>AE19</f>
        <v>37825701.20380472</v>
      </c>
      <c r="AK6" s="436">
        <f>AE10</f>
        <v>0.010416666666666666</v>
      </c>
      <c r="AL6" s="424">
        <f>(AI6-AJ6)*$AK$6</f>
        <v>520833.3333333333</v>
      </c>
      <c r="AM6" s="382">
        <f>AH6-AL6</f>
        <v>211047.510031706</v>
      </c>
      <c r="AN6" s="56"/>
      <c r="AO6" s="160"/>
    </row>
    <row r="7" spans="2:41" ht="12.75">
      <c r="B7" s="159"/>
      <c r="C7" s="682" t="s">
        <v>615</v>
      </c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83"/>
      <c r="P7" s="434"/>
      <c r="Q7" s="360"/>
      <c r="R7" s="159"/>
      <c r="S7" s="56"/>
      <c r="T7" s="693" t="s">
        <v>621</v>
      </c>
      <c r="U7" s="693" t="s">
        <v>622</v>
      </c>
      <c r="V7" s="693" t="s">
        <v>623</v>
      </c>
      <c r="W7" s="693" t="s">
        <v>624</v>
      </c>
      <c r="X7" s="693" t="s">
        <v>625</v>
      </c>
      <c r="Y7" s="693" t="s">
        <v>626</v>
      </c>
      <c r="Z7" s="160"/>
      <c r="AA7" s="56"/>
      <c r="AB7" s="159"/>
      <c r="AC7" s="174"/>
      <c r="AD7" s="157"/>
      <c r="AE7" s="158"/>
      <c r="AF7" s="56"/>
      <c r="AG7" s="35">
        <v>2</v>
      </c>
      <c r="AH7" s="382">
        <f aca="true" t="shared" si="0" ref="AH7:AH70">$AE$15</f>
        <v>731880.8433650393</v>
      </c>
      <c r="AI7" s="382">
        <f>AI6-AH7</f>
        <v>87093820.36043967</v>
      </c>
      <c r="AJ7" s="435">
        <f>AJ6-AL6</f>
        <v>37304867.87047138</v>
      </c>
      <c r="AK7" s="35"/>
      <c r="AL7" s="424">
        <f aca="true" t="shared" si="1" ref="AL7:AL70">(AI7-AJ7)*$AK$6</f>
        <v>518634.92177050305</v>
      </c>
      <c r="AM7" s="382">
        <f aca="true" t="shared" si="2" ref="AM7:AM70">AH7-AL7</f>
        <v>213245.92159453628</v>
      </c>
      <c r="AN7" s="56"/>
      <c r="AO7" s="160"/>
    </row>
    <row r="8" spans="2:41" ht="12.75">
      <c r="B8" s="159"/>
      <c r="C8" s="696" t="s">
        <v>616</v>
      </c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4"/>
      <c r="P8" s="434"/>
      <c r="Q8" s="360"/>
      <c r="R8" s="159"/>
      <c r="S8" s="56"/>
      <c r="T8" s="693"/>
      <c r="U8" s="693"/>
      <c r="V8" s="693"/>
      <c r="W8" s="693"/>
      <c r="X8" s="693"/>
      <c r="Y8" s="693"/>
      <c r="Z8" s="160"/>
      <c r="AA8" s="56"/>
      <c r="AB8" s="159"/>
      <c r="AC8" s="159" t="s">
        <v>432</v>
      </c>
      <c r="AD8" s="334" t="s">
        <v>676</v>
      </c>
      <c r="AE8" s="438">
        <v>0.125</v>
      </c>
      <c r="AF8" s="56"/>
      <c r="AG8" s="35">
        <v>3</v>
      </c>
      <c r="AH8" s="382">
        <f t="shared" si="0"/>
        <v>731880.8433650393</v>
      </c>
      <c r="AI8" s="382">
        <f aca="true" t="shared" si="3" ref="AI8:AI71">AI7-AH8</f>
        <v>86361939.51707463</v>
      </c>
      <c r="AJ8" s="435">
        <f aca="true" t="shared" si="4" ref="AJ8:AJ71">AJ7-AL7</f>
        <v>36786232.948700875</v>
      </c>
      <c r="AK8" s="35"/>
      <c r="AL8" s="424">
        <f t="shared" si="1"/>
        <v>516413.6100872266</v>
      </c>
      <c r="AM8" s="382">
        <f t="shared" si="2"/>
        <v>215467.23327781272</v>
      </c>
      <c r="AN8" s="56"/>
      <c r="AO8" s="160"/>
    </row>
    <row r="9" spans="2:41" ht="12.75">
      <c r="B9" s="159"/>
      <c r="C9" s="675" t="s">
        <v>602</v>
      </c>
      <c r="D9" s="675" t="s">
        <v>114</v>
      </c>
      <c r="E9" s="675"/>
      <c r="F9" s="675"/>
      <c r="G9" s="623" t="s">
        <v>618</v>
      </c>
      <c r="H9" s="623"/>
      <c r="I9" s="623"/>
      <c r="J9" s="623" t="s">
        <v>620</v>
      </c>
      <c r="K9" s="623"/>
      <c r="L9" s="623"/>
      <c r="M9" s="623" t="s">
        <v>619</v>
      </c>
      <c r="N9" s="623"/>
      <c r="O9" s="623"/>
      <c r="P9" s="434"/>
      <c r="Q9" s="360"/>
      <c r="R9" s="159"/>
      <c r="S9" s="56"/>
      <c r="T9" s="693"/>
      <c r="U9" s="693"/>
      <c r="V9" s="693"/>
      <c r="W9" s="693"/>
      <c r="X9" s="693"/>
      <c r="Y9" s="693"/>
      <c r="Z9" s="160"/>
      <c r="AA9" s="56"/>
      <c r="AB9" s="159"/>
      <c r="AC9" s="159" t="s">
        <v>672</v>
      </c>
      <c r="AD9" s="334"/>
      <c r="AE9" s="439">
        <v>12</v>
      </c>
      <c r="AF9" s="56"/>
      <c r="AG9" s="35">
        <v>4</v>
      </c>
      <c r="AH9" s="382">
        <f t="shared" si="0"/>
        <v>731880.8433650393</v>
      </c>
      <c r="AI9" s="382">
        <f t="shared" si="3"/>
        <v>85630058.67370959</v>
      </c>
      <c r="AJ9" s="435">
        <f t="shared" si="4"/>
        <v>36269819.33861365</v>
      </c>
      <c r="AK9" s="35"/>
      <c r="AL9" s="424">
        <f t="shared" si="1"/>
        <v>514169.15974058263</v>
      </c>
      <c r="AM9" s="382">
        <f t="shared" si="2"/>
        <v>217711.6836244567</v>
      </c>
      <c r="AN9" s="56"/>
      <c r="AO9" s="160"/>
    </row>
    <row r="10" spans="2:41" ht="15">
      <c r="B10" s="159"/>
      <c r="C10" s="675"/>
      <c r="D10" s="675"/>
      <c r="E10" s="675"/>
      <c r="F10" s="675"/>
      <c r="G10" s="224" t="s">
        <v>603</v>
      </c>
      <c r="H10" s="224" t="s">
        <v>617</v>
      </c>
      <c r="I10" s="224" t="s">
        <v>322</v>
      </c>
      <c r="J10" s="224" t="s">
        <v>603</v>
      </c>
      <c r="K10" s="224" t="s">
        <v>617</v>
      </c>
      <c r="L10" s="224" t="s">
        <v>322</v>
      </c>
      <c r="M10" s="224" t="s">
        <v>603</v>
      </c>
      <c r="N10" s="224" t="s">
        <v>617</v>
      </c>
      <c r="O10" s="224" t="s">
        <v>322</v>
      </c>
      <c r="P10" s="434"/>
      <c r="Q10" s="360"/>
      <c r="R10" s="159"/>
      <c r="S10" s="56"/>
      <c r="T10" s="35" t="s">
        <v>627</v>
      </c>
      <c r="U10" s="35"/>
      <c r="V10" s="35"/>
      <c r="W10" s="35"/>
      <c r="X10" s="35">
        <f>10000000-Y10</f>
        <v>426600</v>
      </c>
      <c r="Y10" s="35">
        <v>9573400</v>
      </c>
      <c r="Z10" s="160"/>
      <c r="AA10" s="56"/>
      <c r="AB10" s="159"/>
      <c r="AC10" s="159" t="s">
        <v>671</v>
      </c>
      <c r="AD10" s="334"/>
      <c r="AE10" s="440">
        <f>AE8/AE9</f>
        <v>0.010416666666666666</v>
      </c>
      <c r="AF10" s="56"/>
      <c r="AG10" s="35">
        <v>5</v>
      </c>
      <c r="AH10" s="382">
        <f t="shared" si="0"/>
        <v>731880.8433650393</v>
      </c>
      <c r="AI10" s="382">
        <f t="shared" si="3"/>
        <v>84898177.83034454</v>
      </c>
      <c r="AJ10" s="435">
        <f t="shared" si="4"/>
        <v>35755650.17887307</v>
      </c>
      <c r="AK10" s="35"/>
      <c r="AL10" s="424">
        <f t="shared" si="1"/>
        <v>511901.32970282785</v>
      </c>
      <c r="AM10" s="382">
        <f t="shared" si="2"/>
        <v>219979.51366221148</v>
      </c>
      <c r="AN10" s="56"/>
      <c r="AO10" s="160"/>
    </row>
    <row r="11" spans="2:41" ht="14.25">
      <c r="B11" s="159"/>
      <c r="C11" s="422" t="s">
        <v>604</v>
      </c>
      <c r="D11" s="692" t="s">
        <v>605</v>
      </c>
      <c r="E11" s="692"/>
      <c r="F11" s="692"/>
      <c r="G11" s="423">
        <v>200</v>
      </c>
      <c r="H11" s="423">
        <v>7000</v>
      </c>
      <c r="I11" s="423">
        <f>G11*H11</f>
        <v>1400000</v>
      </c>
      <c r="J11" s="225"/>
      <c r="K11" s="225"/>
      <c r="L11" s="225"/>
      <c r="M11" s="225">
        <f>G11</f>
        <v>200</v>
      </c>
      <c r="N11" s="225">
        <f>H11</f>
        <v>7000</v>
      </c>
      <c r="O11" s="225">
        <f aca="true" t="shared" si="5" ref="O11:O18">M11*N11</f>
        <v>1400000</v>
      </c>
      <c r="P11" s="160"/>
      <c r="R11" s="159"/>
      <c r="S11" s="56"/>
      <c r="T11" s="35" t="s">
        <v>628</v>
      </c>
      <c r="U11" s="225">
        <f>5%*10000000/2</f>
        <v>250000</v>
      </c>
      <c r="V11" s="225">
        <f>6%*Y10/2</f>
        <v>287202</v>
      </c>
      <c r="W11" s="225">
        <f>V11-U11</f>
        <v>37202</v>
      </c>
      <c r="X11" s="225">
        <f>X10-W11</f>
        <v>389398</v>
      </c>
      <c r="Y11" s="35">
        <f>Y10+W11</f>
        <v>9610602</v>
      </c>
      <c r="Z11" s="160"/>
      <c r="AA11" s="56"/>
      <c r="AB11" s="159"/>
      <c r="AC11" s="159"/>
      <c r="AD11" s="334"/>
      <c r="AE11" s="439"/>
      <c r="AF11" s="56"/>
      <c r="AG11" s="35">
        <v>6</v>
      </c>
      <c r="AH11" s="382">
        <f t="shared" si="0"/>
        <v>731880.8433650393</v>
      </c>
      <c r="AI11" s="382">
        <f t="shared" si="3"/>
        <v>84166296.9869795</v>
      </c>
      <c r="AJ11" s="435">
        <f t="shared" si="4"/>
        <v>35243748.849170245</v>
      </c>
      <c r="AK11" s="35"/>
      <c r="AL11" s="424">
        <f t="shared" si="1"/>
        <v>509609.876435513</v>
      </c>
      <c r="AM11" s="382">
        <f t="shared" si="2"/>
        <v>222270.9669295263</v>
      </c>
      <c r="AN11" s="56"/>
      <c r="AO11" s="160"/>
    </row>
    <row r="12" spans="2:41" ht="14.25">
      <c r="B12" s="159"/>
      <c r="C12" s="422" t="s">
        <v>606</v>
      </c>
      <c r="D12" s="692" t="s">
        <v>40</v>
      </c>
      <c r="E12" s="692"/>
      <c r="F12" s="692"/>
      <c r="G12" s="35"/>
      <c r="H12" s="423"/>
      <c r="I12" s="423"/>
      <c r="J12" s="423">
        <v>100</v>
      </c>
      <c r="K12" s="225">
        <f>N11</f>
        <v>7000</v>
      </c>
      <c r="L12" s="225">
        <f>K12*J12</f>
        <v>700000</v>
      </c>
      <c r="M12" s="225">
        <f aca="true" t="shared" si="6" ref="M12:M18">M11+G12-J12</f>
        <v>100</v>
      </c>
      <c r="N12" s="225">
        <f>(O11+I12)/(M11+G12)</f>
        <v>7000</v>
      </c>
      <c r="O12" s="225">
        <f t="shared" si="5"/>
        <v>700000</v>
      </c>
      <c r="P12" s="160"/>
      <c r="R12" s="159"/>
      <c r="S12" s="56"/>
      <c r="T12" s="35" t="s">
        <v>629</v>
      </c>
      <c r="U12" s="225">
        <f aca="true" t="shared" si="7" ref="U12:U20">5%*10000000/2</f>
        <v>250000</v>
      </c>
      <c r="V12" s="424">
        <f aca="true" t="shared" si="8" ref="V12:V20">6%*Y11/2</f>
        <v>288318.06</v>
      </c>
      <c r="W12" s="424">
        <f aca="true" t="shared" si="9" ref="W12:W20">V12-U12</f>
        <v>38318.06</v>
      </c>
      <c r="X12" s="424">
        <f aca="true" t="shared" si="10" ref="X12:X19">X11-W12</f>
        <v>351079.94</v>
      </c>
      <c r="Y12" s="35">
        <f aca="true" t="shared" si="11" ref="Y12:Y20">Y11+W12</f>
        <v>9648920.06</v>
      </c>
      <c r="Z12" s="160"/>
      <c r="AA12" s="56"/>
      <c r="AB12" s="159"/>
      <c r="AC12" s="441" t="s">
        <v>673</v>
      </c>
      <c r="AD12" s="334" t="s">
        <v>677</v>
      </c>
      <c r="AE12" s="439">
        <v>120</v>
      </c>
      <c r="AF12" s="56"/>
      <c r="AG12" s="35">
        <v>7</v>
      </c>
      <c r="AH12" s="382">
        <f t="shared" si="0"/>
        <v>731880.8433650393</v>
      </c>
      <c r="AI12" s="382">
        <f t="shared" si="3"/>
        <v>83434416.14361446</v>
      </c>
      <c r="AJ12" s="435">
        <f t="shared" si="4"/>
        <v>34734138.972734734</v>
      </c>
      <c r="AK12" s="35"/>
      <c r="AL12" s="424">
        <f t="shared" si="1"/>
        <v>507294.5538633304</v>
      </c>
      <c r="AM12" s="382">
        <f t="shared" si="2"/>
        <v>224586.28950170893</v>
      </c>
      <c r="AN12" s="56"/>
      <c r="AO12" s="160"/>
    </row>
    <row r="13" spans="2:41" ht="14.25">
      <c r="B13" s="159"/>
      <c r="C13" s="422" t="s">
        <v>607</v>
      </c>
      <c r="D13" s="692" t="s">
        <v>125</v>
      </c>
      <c r="E13" s="692"/>
      <c r="F13" s="692"/>
      <c r="G13" s="423">
        <v>1100</v>
      </c>
      <c r="H13" s="423">
        <v>8000</v>
      </c>
      <c r="I13" s="423">
        <f>G13*H13</f>
        <v>8800000</v>
      </c>
      <c r="J13" s="225"/>
      <c r="K13" s="225"/>
      <c r="L13" s="225"/>
      <c r="M13" s="225">
        <f t="shared" si="6"/>
        <v>1200</v>
      </c>
      <c r="N13" s="424">
        <f aca="true" t="shared" si="12" ref="N13:N18">(O12+I13)/(M12+G13)</f>
        <v>7916.666666666667</v>
      </c>
      <c r="O13" s="225">
        <f t="shared" si="5"/>
        <v>9500000</v>
      </c>
      <c r="P13" s="160"/>
      <c r="R13" s="159"/>
      <c r="S13" s="56"/>
      <c r="T13" s="35" t="s">
        <v>630</v>
      </c>
      <c r="U13" s="225">
        <f t="shared" si="7"/>
        <v>250000</v>
      </c>
      <c r="V13" s="424">
        <f t="shared" si="8"/>
        <v>289467.6018</v>
      </c>
      <c r="W13" s="424">
        <f t="shared" si="9"/>
        <v>39467.601800000004</v>
      </c>
      <c r="X13" s="424">
        <f t="shared" si="10"/>
        <v>311612.3382</v>
      </c>
      <c r="Y13" s="35">
        <f t="shared" si="11"/>
        <v>9688387.6618</v>
      </c>
      <c r="Z13" s="160"/>
      <c r="AA13" s="56"/>
      <c r="AB13" s="159"/>
      <c r="AC13" s="441" t="s">
        <v>674</v>
      </c>
      <c r="AD13" s="334" t="s">
        <v>678</v>
      </c>
      <c r="AE13" s="439">
        <v>-50000000</v>
      </c>
      <c r="AF13" s="56"/>
      <c r="AG13" s="35">
        <v>8</v>
      </c>
      <c r="AH13" s="382">
        <f t="shared" si="0"/>
        <v>731880.8433650393</v>
      </c>
      <c r="AI13" s="382">
        <f t="shared" si="3"/>
        <v>82702535.30024941</v>
      </c>
      <c r="AJ13" s="435">
        <f t="shared" si="4"/>
        <v>34226844.4188714</v>
      </c>
      <c r="AK13" s="35"/>
      <c r="AL13" s="424">
        <f t="shared" si="1"/>
        <v>504955.1133476876</v>
      </c>
      <c r="AM13" s="382">
        <f t="shared" si="2"/>
        <v>226925.73001735174</v>
      </c>
      <c r="AN13" s="56"/>
      <c r="AO13" s="160"/>
    </row>
    <row r="14" spans="2:41" ht="14.25">
      <c r="B14" s="159"/>
      <c r="C14" s="422" t="s">
        <v>608</v>
      </c>
      <c r="D14" s="692" t="s">
        <v>40</v>
      </c>
      <c r="E14" s="692"/>
      <c r="F14" s="692"/>
      <c r="G14" s="35"/>
      <c r="H14" s="423"/>
      <c r="I14" s="423"/>
      <c r="J14" s="423">
        <v>200</v>
      </c>
      <c r="K14" s="225">
        <f>N13</f>
        <v>7916.666666666667</v>
      </c>
      <c r="L14" s="225"/>
      <c r="M14" s="225">
        <f t="shared" si="6"/>
        <v>1000</v>
      </c>
      <c r="N14" s="424">
        <f t="shared" si="12"/>
        <v>7916.666666666667</v>
      </c>
      <c r="O14" s="225">
        <f t="shared" si="5"/>
        <v>7916666.666666667</v>
      </c>
      <c r="P14" s="160"/>
      <c r="R14" s="159"/>
      <c r="S14" s="56"/>
      <c r="T14" s="35" t="s">
        <v>631</v>
      </c>
      <c r="U14" s="225">
        <f t="shared" si="7"/>
        <v>250000</v>
      </c>
      <c r="V14" s="424">
        <f t="shared" si="8"/>
        <v>290651.629854</v>
      </c>
      <c r="W14" s="424">
        <f t="shared" si="9"/>
        <v>40651.629854</v>
      </c>
      <c r="X14" s="424">
        <f t="shared" si="10"/>
        <v>270960.708346</v>
      </c>
      <c r="Y14" s="35">
        <f t="shared" si="11"/>
        <v>9729039.291654</v>
      </c>
      <c r="Z14" s="160"/>
      <c r="AA14" s="56"/>
      <c r="AB14" s="159"/>
      <c r="AC14" s="159"/>
      <c r="AD14" s="334"/>
      <c r="AE14" s="439"/>
      <c r="AF14" s="56"/>
      <c r="AG14" s="35">
        <v>9</v>
      </c>
      <c r="AH14" s="382">
        <f t="shared" si="0"/>
        <v>731880.8433650393</v>
      </c>
      <c r="AI14" s="382">
        <f t="shared" si="3"/>
        <v>81970654.45688437</v>
      </c>
      <c r="AJ14" s="435">
        <f t="shared" si="4"/>
        <v>33721889.305523716</v>
      </c>
      <c r="AK14" s="35"/>
      <c r="AL14" s="424">
        <f t="shared" si="1"/>
        <v>502591.3036600068</v>
      </c>
      <c r="AM14" s="382">
        <f t="shared" si="2"/>
        <v>229289.53970503254</v>
      </c>
      <c r="AN14" s="56"/>
      <c r="AO14" s="160"/>
    </row>
    <row r="15" spans="2:41" ht="17.25" customHeight="1">
      <c r="B15" s="159"/>
      <c r="C15" s="422" t="s">
        <v>609</v>
      </c>
      <c r="D15" s="692" t="s">
        <v>40</v>
      </c>
      <c r="E15" s="692"/>
      <c r="F15" s="692"/>
      <c r="G15" s="35"/>
      <c r="H15" s="423"/>
      <c r="I15" s="423"/>
      <c r="J15" s="423">
        <v>400</v>
      </c>
      <c r="K15" s="225">
        <f>N14</f>
        <v>7916.666666666667</v>
      </c>
      <c r="L15" s="225"/>
      <c r="M15" s="225">
        <f t="shared" si="6"/>
        <v>600</v>
      </c>
      <c r="N15" s="424">
        <f t="shared" si="12"/>
        <v>7916.666666666667</v>
      </c>
      <c r="O15" s="225">
        <f t="shared" si="5"/>
        <v>4750000</v>
      </c>
      <c r="P15" s="160"/>
      <c r="R15" s="159"/>
      <c r="S15" s="56"/>
      <c r="T15" s="35" t="s">
        <v>632</v>
      </c>
      <c r="U15" s="225">
        <f t="shared" si="7"/>
        <v>250000</v>
      </c>
      <c r="V15" s="424">
        <f t="shared" si="8"/>
        <v>291871.17874962</v>
      </c>
      <c r="W15" s="424">
        <f t="shared" si="9"/>
        <v>41871.17874961998</v>
      </c>
      <c r="X15" s="424">
        <f t="shared" si="10"/>
        <v>229089.52959638002</v>
      </c>
      <c r="Y15" s="35">
        <f t="shared" si="11"/>
        <v>9770910.47040362</v>
      </c>
      <c r="Z15" s="160"/>
      <c r="AA15" s="56"/>
      <c r="AB15" s="159"/>
      <c r="AC15" s="441" t="s">
        <v>675</v>
      </c>
      <c r="AD15" s="334"/>
      <c r="AE15" s="442">
        <f>PMT(AE10,AE12,AE13)</f>
        <v>731880.8433650393</v>
      </c>
      <c r="AF15" s="56"/>
      <c r="AG15" s="35">
        <v>10</v>
      </c>
      <c r="AH15" s="382">
        <f t="shared" si="0"/>
        <v>731880.8433650393</v>
      </c>
      <c r="AI15" s="382">
        <f t="shared" si="3"/>
        <v>81238773.61351933</v>
      </c>
      <c r="AJ15" s="435">
        <f t="shared" si="4"/>
        <v>33219298.00186371</v>
      </c>
      <c r="AK15" s="35"/>
      <c r="AL15" s="424">
        <f t="shared" si="1"/>
        <v>500202.870954746</v>
      </c>
      <c r="AM15" s="382">
        <f t="shared" si="2"/>
        <v>231677.97241029335</v>
      </c>
      <c r="AN15" s="56"/>
      <c r="AO15" s="160"/>
    </row>
    <row r="16" spans="2:41" ht="17.25" customHeight="1">
      <c r="B16" s="159"/>
      <c r="C16" s="422" t="s">
        <v>610</v>
      </c>
      <c r="D16" s="692" t="s">
        <v>611</v>
      </c>
      <c r="E16" s="692"/>
      <c r="F16" s="692"/>
      <c r="G16" s="423">
        <v>300</v>
      </c>
      <c r="H16" s="423">
        <v>9000</v>
      </c>
      <c r="I16" s="423">
        <f>G16*H16</f>
        <v>2700000</v>
      </c>
      <c r="J16" s="225"/>
      <c r="K16" s="225"/>
      <c r="L16" s="225"/>
      <c r="M16" s="225">
        <f t="shared" si="6"/>
        <v>900</v>
      </c>
      <c r="N16" s="424">
        <f t="shared" si="12"/>
        <v>8277.777777777777</v>
      </c>
      <c r="O16" s="225">
        <f t="shared" si="5"/>
        <v>7450000</v>
      </c>
      <c r="P16" s="160"/>
      <c r="R16" s="159"/>
      <c r="S16" s="56"/>
      <c r="T16" s="35" t="s">
        <v>633</v>
      </c>
      <c r="U16" s="225">
        <f t="shared" si="7"/>
        <v>250000</v>
      </c>
      <c r="V16" s="424">
        <f t="shared" si="8"/>
        <v>293127.31411210855</v>
      </c>
      <c r="W16" s="424">
        <f t="shared" si="9"/>
        <v>43127.31411210855</v>
      </c>
      <c r="X16" s="424">
        <f t="shared" si="10"/>
        <v>185962.21548427147</v>
      </c>
      <c r="Y16" s="35">
        <f t="shared" si="11"/>
        <v>9814037.784515727</v>
      </c>
      <c r="Z16" s="160"/>
      <c r="AA16" s="56"/>
      <c r="AB16" s="159"/>
      <c r="AC16" s="159"/>
      <c r="AD16" s="56"/>
      <c r="AE16" s="160"/>
      <c r="AF16" s="56"/>
      <c r="AG16" s="35">
        <v>11</v>
      </c>
      <c r="AH16" s="382">
        <f t="shared" si="0"/>
        <v>731880.8433650393</v>
      </c>
      <c r="AI16" s="382">
        <f t="shared" si="3"/>
        <v>80506892.77015428</v>
      </c>
      <c r="AJ16" s="435">
        <f t="shared" si="4"/>
        <v>32719095.130908966</v>
      </c>
      <c r="AK16" s="35"/>
      <c r="AL16" s="424">
        <f t="shared" si="1"/>
        <v>497789.5587421387</v>
      </c>
      <c r="AM16" s="382">
        <f t="shared" si="2"/>
        <v>234091.28462290065</v>
      </c>
      <c r="AN16" s="56"/>
      <c r="AO16" s="160"/>
    </row>
    <row r="17" spans="2:41" ht="12.75" customHeight="1">
      <c r="B17" s="159"/>
      <c r="C17" s="422" t="s">
        <v>612</v>
      </c>
      <c r="D17" s="692" t="s">
        <v>40</v>
      </c>
      <c r="E17" s="692"/>
      <c r="F17" s="692"/>
      <c r="G17" s="35"/>
      <c r="H17" s="423"/>
      <c r="I17" s="423"/>
      <c r="J17" s="423">
        <v>600</v>
      </c>
      <c r="K17" s="225">
        <f>N16</f>
        <v>8277.777777777777</v>
      </c>
      <c r="L17" s="225"/>
      <c r="M17" s="225">
        <f t="shared" si="6"/>
        <v>300</v>
      </c>
      <c r="N17" s="424">
        <f t="shared" si="12"/>
        <v>8277.777777777777</v>
      </c>
      <c r="O17" s="225">
        <f t="shared" si="5"/>
        <v>2483333.333333333</v>
      </c>
      <c r="P17" s="160"/>
      <c r="R17" s="159"/>
      <c r="S17" s="56"/>
      <c r="T17" s="35" t="s">
        <v>634</v>
      </c>
      <c r="U17" s="225">
        <f t="shared" si="7"/>
        <v>250000</v>
      </c>
      <c r="V17" s="424">
        <f t="shared" si="8"/>
        <v>294421.1335354718</v>
      </c>
      <c r="W17" s="424">
        <f t="shared" si="9"/>
        <v>44421.1335354718</v>
      </c>
      <c r="X17" s="424">
        <f t="shared" si="10"/>
        <v>141541.08194879966</v>
      </c>
      <c r="Y17" s="35">
        <f t="shared" si="11"/>
        <v>9858458.9180512</v>
      </c>
      <c r="Z17" s="160"/>
      <c r="AA17" s="56"/>
      <c r="AB17" s="159"/>
      <c r="AC17" s="441" t="s">
        <v>681</v>
      </c>
      <c r="AD17" s="56"/>
      <c r="AE17" s="329">
        <f>AE12*AE15</f>
        <v>87825701.20380472</v>
      </c>
      <c r="AF17" s="56"/>
      <c r="AG17" s="35">
        <v>12</v>
      </c>
      <c r="AH17" s="382">
        <f t="shared" si="0"/>
        <v>731880.8433650393</v>
      </c>
      <c r="AI17" s="382">
        <f t="shared" si="3"/>
        <v>79775011.92678924</v>
      </c>
      <c r="AJ17" s="435">
        <f t="shared" si="4"/>
        <v>32221305.572166827</v>
      </c>
      <c r="AK17" s="35"/>
      <c r="AL17" s="424">
        <f t="shared" si="1"/>
        <v>495351.10786065005</v>
      </c>
      <c r="AM17" s="382">
        <f t="shared" si="2"/>
        <v>236529.73550438927</v>
      </c>
      <c r="AN17" s="56"/>
      <c r="AO17" s="160"/>
    </row>
    <row r="18" spans="2:41" ht="12.75" customHeight="1">
      <c r="B18" s="159"/>
      <c r="C18" s="422" t="s">
        <v>613</v>
      </c>
      <c r="D18" s="692" t="s">
        <v>125</v>
      </c>
      <c r="E18" s="692"/>
      <c r="F18" s="692"/>
      <c r="G18" s="423">
        <v>400</v>
      </c>
      <c r="H18" s="423">
        <v>10000</v>
      </c>
      <c r="I18" s="423">
        <f>G18*H18</f>
        <v>4000000</v>
      </c>
      <c r="J18" s="225"/>
      <c r="K18" s="225"/>
      <c r="L18" s="225"/>
      <c r="M18" s="225">
        <f t="shared" si="6"/>
        <v>700</v>
      </c>
      <c r="N18" s="424">
        <f t="shared" si="12"/>
        <v>9261.904761904761</v>
      </c>
      <c r="O18" s="225">
        <f t="shared" si="5"/>
        <v>6483333.333333333</v>
      </c>
      <c r="P18" s="160"/>
      <c r="R18" s="159"/>
      <c r="S18" s="56"/>
      <c r="T18" s="35" t="s">
        <v>635</v>
      </c>
      <c r="U18" s="225">
        <f t="shared" si="7"/>
        <v>250000</v>
      </c>
      <c r="V18" s="424">
        <f t="shared" si="8"/>
        <v>295753.767541536</v>
      </c>
      <c r="W18" s="424">
        <f t="shared" si="9"/>
        <v>45753.76754153601</v>
      </c>
      <c r="X18" s="424">
        <f t="shared" si="10"/>
        <v>95787.31440726365</v>
      </c>
      <c r="Y18" s="35">
        <f t="shared" si="11"/>
        <v>9904212.685592735</v>
      </c>
      <c r="Z18" s="160"/>
      <c r="AA18" s="56"/>
      <c r="AB18" s="159"/>
      <c r="AC18" s="159"/>
      <c r="AD18" s="56"/>
      <c r="AE18" s="160"/>
      <c r="AF18" s="56"/>
      <c r="AG18" s="35">
        <v>13</v>
      </c>
      <c r="AH18" s="382">
        <f t="shared" si="0"/>
        <v>731880.8433650393</v>
      </c>
      <c r="AI18" s="382">
        <f t="shared" si="3"/>
        <v>79043131.0834242</v>
      </c>
      <c r="AJ18" s="435">
        <f t="shared" si="4"/>
        <v>31725954.464306176</v>
      </c>
      <c r="AK18" s="35"/>
      <c r="AL18" s="424">
        <f t="shared" si="1"/>
        <v>492887.256449146</v>
      </c>
      <c r="AM18" s="382">
        <f t="shared" si="2"/>
        <v>238993.5869158933</v>
      </c>
      <c r="AN18" s="56"/>
      <c r="AO18" s="160"/>
    </row>
    <row r="19" spans="2:41" ht="12.75">
      <c r="B19" s="15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60"/>
      <c r="R19" s="159"/>
      <c r="S19" s="56"/>
      <c r="T19" s="35" t="s">
        <v>636</v>
      </c>
      <c r="U19" s="225">
        <f t="shared" si="7"/>
        <v>250000</v>
      </c>
      <c r="V19" s="424">
        <f t="shared" si="8"/>
        <v>297126.38056778203</v>
      </c>
      <c r="W19" s="424">
        <f t="shared" si="9"/>
        <v>47126.380567782035</v>
      </c>
      <c r="X19" s="424">
        <f t="shared" si="10"/>
        <v>48660.933839481615</v>
      </c>
      <c r="Y19" s="35">
        <f t="shared" si="11"/>
        <v>9951339.066160517</v>
      </c>
      <c r="Z19" s="160"/>
      <c r="AA19" s="56"/>
      <c r="AB19" s="159"/>
      <c r="AC19" s="159" t="s">
        <v>682</v>
      </c>
      <c r="AD19" s="56"/>
      <c r="AE19" s="329">
        <f>AE17+AE13</f>
        <v>37825701.20380472</v>
      </c>
      <c r="AF19" s="56"/>
      <c r="AG19" s="35">
        <v>14</v>
      </c>
      <c r="AH19" s="382">
        <f t="shared" si="0"/>
        <v>731880.8433650393</v>
      </c>
      <c r="AI19" s="382">
        <f t="shared" si="3"/>
        <v>78311250.24005915</v>
      </c>
      <c r="AJ19" s="435">
        <f t="shared" si="4"/>
        <v>31233067.20785703</v>
      </c>
      <c r="AK19" s="35"/>
      <c r="AL19" s="424">
        <f t="shared" si="1"/>
        <v>490397.73991877213</v>
      </c>
      <c r="AM19" s="382">
        <f t="shared" si="2"/>
        <v>241483.1034462672</v>
      </c>
      <c r="AN19" s="56"/>
      <c r="AO19" s="160"/>
    </row>
    <row r="20" spans="2:41" ht="12.75">
      <c r="B20" s="159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60"/>
      <c r="R20" s="159"/>
      <c r="S20" s="56"/>
      <c r="T20" s="35" t="s">
        <v>637</v>
      </c>
      <c r="U20" s="225">
        <f t="shared" si="7"/>
        <v>250000</v>
      </c>
      <c r="V20" s="424">
        <f t="shared" si="8"/>
        <v>298540.1719848155</v>
      </c>
      <c r="W20" s="424">
        <f t="shared" si="9"/>
        <v>48540.171984815504</v>
      </c>
      <c r="X20" s="424">
        <f>X19-W20</f>
        <v>120.7618546661106</v>
      </c>
      <c r="Y20" s="35">
        <f t="shared" si="11"/>
        <v>9999879.238145333</v>
      </c>
      <c r="Z20" s="160"/>
      <c r="AA20" s="56"/>
      <c r="AB20" s="159"/>
      <c r="AC20" s="159"/>
      <c r="AD20" s="56"/>
      <c r="AE20" s="160"/>
      <c r="AF20" s="56"/>
      <c r="AG20" s="35">
        <v>15</v>
      </c>
      <c r="AH20" s="382">
        <f t="shared" si="0"/>
        <v>731880.8433650393</v>
      </c>
      <c r="AI20" s="382">
        <f t="shared" si="3"/>
        <v>77579369.39669411</v>
      </c>
      <c r="AJ20" s="435">
        <f t="shared" si="4"/>
        <v>30742669.46793826</v>
      </c>
      <c r="AK20" s="35"/>
      <c r="AL20" s="424">
        <f t="shared" si="1"/>
        <v>487882.2909245401</v>
      </c>
      <c r="AM20" s="382">
        <f t="shared" si="2"/>
        <v>243998.55244049925</v>
      </c>
      <c r="AN20" s="56"/>
      <c r="AO20" s="160"/>
    </row>
    <row r="21" spans="2:41" ht="13.5" thickBot="1">
      <c r="B21" s="159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160"/>
      <c r="R21" s="159"/>
      <c r="S21" s="56"/>
      <c r="T21" s="56"/>
      <c r="U21" s="56"/>
      <c r="V21" s="56"/>
      <c r="W21" s="56"/>
      <c r="X21" s="56"/>
      <c r="Y21" s="56"/>
      <c r="Z21" s="160"/>
      <c r="AA21" s="56"/>
      <c r="AB21" s="159"/>
      <c r="AC21" s="177"/>
      <c r="AD21" s="178"/>
      <c r="AE21" s="179"/>
      <c r="AF21" s="56"/>
      <c r="AG21" s="35">
        <v>16</v>
      </c>
      <c r="AH21" s="382">
        <f t="shared" si="0"/>
        <v>731880.8433650393</v>
      </c>
      <c r="AI21" s="382">
        <f t="shared" si="3"/>
        <v>76847488.55332907</v>
      </c>
      <c r="AJ21" s="435">
        <f t="shared" si="4"/>
        <v>30254787.177013718</v>
      </c>
      <c r="AK21" s="35"/>
      <c r="AL21" s="424">
        <f t="shared" si="1"/>
        <v>485340.6393366182</v>
      </c>
      <c r="AM21" s="382">
        <f t="shared" si="2"/>
        <v>246540.20402842114</v>
      </c>
      <c r="AN21" s="56"/>
      <c r="AO21" s="160"/>
    </row>
    <row r="22" spans="2:41" ht="12.75">
      <c r="B22" s="159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160"/>
      <c r="R22" s="159"/>
      <c r="S22" s="56"/>
      <c r="T22" s="56"/>
      <c r="U22" s="56"/>
      <c r="V22" s="56"/>
      <c r="W22" s="56"/>
      <c r="X22" s="56"/>
      <c r="Y22" s="56"/>
      <c r="Z22" s="160"/>
      <c r="AA22" s="56"/>
      <c r="AB22" s="159"/>
      <c r="AC22" s="56"/>
      <c r="AD22" s="56"/>
      <c r="AE22" s="56"/>
      <c r="AF22" s="56"/>
      <c r="AG22" s="35">
        <v>17</v>
      </c>
      <c r="AH22" s="382">
        <f t="shared" si="0"/>
        <v>731880.8433650393</v>
      </c>
      <c r="AI22" s="382">
        <f t="shared" si="3"/>
        <v>76115607.70996402</v>
      </c>
      <c r="AJ22" s="435">
        <f t="shared" si="4"/>
        <v>29769446.537677098</v>
      </c>
      <c r="AK22" s="35"/>
      <c r="AL22" s="424">
        <f t="shared" si="1"/>
        <v>482772.51221132214</v>
      </c>
      <c r="AM22" s="382">
        <f t="shared" si="2"/>
        <v>249108.33115371718</v>
      </c>
      <c r="AN22" s="56"/>
      <c r="AO22" s="160"/>
    </row>
    <row r="23" spans="2:41" ht="13.5" thickBot="1">
      <c r="B23" s="17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R23" s="177"/>
      <c r="S23" s="178"/>
      <c r="T23" s="178"/>
      <c r="U23" s="178"/>
      <c r="V23" s="178"/>
      <c r="W23" s="178"/>
      <c r="X23" s="178"/>
      <c r="Y23" s="178"/>
      <c r="Z23" s="179"/>
      <c r="AA23" s="56"/>
      <c r="AB23" s="159"/>
      <c r="AC23" s="56"/>
      <c r="AD23" s="56"/>
      <c r="AE23" s="56"/>
      <c r="AF23" s="56"/>
      <c r="AG23" s="35">
        <v>18</v>
      </c>
      <c r="AH23" s="382">
        <f t="shared" si="0"/>
        <v>731880.8433650393</v>
      </c>
      <c r="AI23" s="382">
        <f t="shared" si="3"/>
        <v>75383726.86659898</v>
      </c>
      <c r="AJ23" s="435">
        <f t="shared" si="4"/>
        <v>29286674.025465775</v>
      </c>
      <c r="AK23" s="35"/>
      <c r="AL23" s="424">
        <f t="shared" si="1"/>
        <v>480177.6337618042</v>
      </c>
      <c r="AM23" s="382">
        <f t="shared" si="2"/>
        <v>251703.20960323513</v>
      </c>
      <c r="AN23" s="56"/>
      <c r="AO23" s="160"/>
    </row>
    <row r="24" spans="27:41" ht="12.75">
      <c r="AA24" s="56"/>
      <c r="AB24" s="159"/>
      <c r="AC24" s="56"/>
      <c r="AD24" s="56"/>
      <c r="AE24" s="56"/>
      <c r="AF24" s="56"/>
      <c r="AG24" s="35">
        <v>19</v>
      </c>
      <c r="AH24" s="382">
        <f t="shared" si="0"/>
        <v>731880.8433650393</v>
      </c>
      <c r="AI24" s="382">
        <f t="shared" si="3"/>
        <v>74651846.02323394</v>
      </c>
      <c r="AJ24" s="435">
        <f t="shared" si="4"/>
        <v>28806496.39170397</v>
      </c>
      <c r="AK24" s="35"/>
      <c r="AL24" s="424">
        <f t="shared" si="1"/>
        <v>477555.7253284371</v>
      </c>
      <c r="AM24" s="382">
        <f t="shared" si="2"/>
        <v>254325.11803660222</v>
      </c>
      <c r="AN24" s="56"/>
      <c r="AO24" s="160"/>
    </row>
    <row r="25" spans="28:41" ht="12.75">
      <c r="AB25" s="159"/>
      <c r="AC25" s="56"/>
      <c r="AD25" s="56"/>
      <c r="AE25" s="56"/>
      <c r="AF25" s="56"/>
      <c r="AG25" s="35">
        <v>20</v>
      </c>
      <c r="AH25" s="382">
        <f t="shared" si="0"/>
        <v>731880.8433650393</v>
      </c>
      <c r="AI25" s="382">
        <f t="shared" si="3"/>
        <v>73919965.17986889</v>
      </c>
      <c r="AJ25" s="435">
        <f t="shared" si="4"/>
        <v>28328940.666375533</v>
      </c>
      <c r="AK25" s="35"/>
      <c r="AL25" s="424">
        <f t="shared" si="1"/>
        <v>474906.50534888916</v>
      </c>
      <c r="AM25" s="382">
        <f t="shared" si="2"/>
        <v>256974.33801615017</v>
      </c>
      <c r="AN25" s="56"/>
      <c r="AO25" s="160"/>
    </row>
    <row r="26" spans="28:41" ht="13.5" thickBot="1">
      <c r="AB26" s="159"/>
      <c r="AC26" s="56"/>
      <c r="AD26" s="56"/>
      <c r="AE26" s="56"/>
      <c r="AF26" s="56"/>
      <c r="AG26" s="35">
        <v>21</v>
      </c>
      <c r="AH26" s="382">
        <f t="shared" si="0"/>
        <v>731880.8433650393</v>
      </c>
      <c r="AI26" s="382">
        <f t="shared" si="3"/>
        <v>73188084.33650385</v>
      </c>
      <c r="AJ26" s="435">
        <f t="shared" si="4"/>
        <v>27854034.16102664</v>
      </c>
      <c r="AK26" s="35"/>
      <c r="AL26" s="424">
        <f t="shared" si="1"/>
        <v>472229.68932788755</v>
      </c>
      <c r="AM26" s="382">
        <f t="shared" si="2"/>
        <v>259651.15403715178</v>
      </c>
      <c r="AN26" s="56"/>
      <c r="AO26" s="160"/>
    </row>
    <row r="27" spans="2:41" ht="12.75">
      <c r="B27" s="174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8"/>
      <c r="AB27" s="159"/>
      <c r="AC27" s="56"/>
      <c r="AD27" s="56"/>
      <c r="AE27" s="56"/>
      <c r="AF27" s="56"/>
      <c r="AG27" s="35">
        <v>22</v>
      </c>
      <c r="AH27" s="382">
        <f t="shared" si="0"/>
        <v>731880.8433650393</v>
      </c>
      <c r="AI27" s="382">
        <f t="shared" si="3"/>
        <v>72456203.4931388</v>
      </c>
      <c r="AJ27" s="435">
        <f t="shared" si="4"/>
        <v>27381804.471698754</v>
      </c>
      <c r="AK27" s="35"/>
      <c r="AL27" s="424">
        <f t="shared" si="1"/>
        <v>469524.9898066672</v>
      </c>
      <c r="AM27" s="382">
        <f t="shared" si="2"/>
        <v>262355.8535583721</v>
      </c>
      <c r="AN27" s="56"/>
      <c r="AO27" s="160"/>
    </row>
    <row r="28" spans="2:41" ht="12.75">
      <c r="B28" s="159"/>
      <c r="C28" s="620" t="s">
        <v>424</v>
      </c>
      <c r="D28" s="620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60"/>
      <c r="AB28" s="159"/>
      <c r="AC28" s="56"/>
      <c r="AD28" s="56"/>
      <c r="AE28" s="56"/>
      <c r="AF28" s="56"/>
      <c r="AG28" s="35">
        <v>23</v>
      </c>
      <c r="AH28" s="382">
        <f t="shared" si="0"/>
        <v>731880.8433650393</v>
      </c>
      <c r="AI28" s="382">
        <f t="shared" si="3"/>
        <v>71724322.64977376</v>
      </c>
      <c r="AJ28" s="435">
        <f t="shared" si="4"/>
        <v>26912279.481892087</v>
      </c>
      <c r="AK28" s="35"/>
      <c r="AL28" s="424">
        <f t="shared" si="1"/>
        <v>466792.11633210076</v>
      </c>
      <c r="AM28" s="382">
        <f t="shared" si="2"/>
        <v>265088.72703293856</v>
      </c>
      <c r="AN28" s="56"/>
      <c r="AO28" s="160"/>
    </row>
    <row r="29" spans="2:41" ht="12.75">
      <c r="B29" s="159"/>
      <c r="C29" s="620"/>
      <c r="D29" s="620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60"/>
      <c r="AB29" s="159"/>
      <c r="AC29" s="56"/>
      <c r="AD29" s="56"/>
      <c r="AE29" s="56"/>
      <c r="AF29" s="56"/>
      <c r="AG29" s="35">
        <v>24</v>
      </c>
      <c r="AH29" s="382">
        <f t="shared" si="0"/>
        <v>731880.8433650393</v>
      </c>
      <c r="AI29" s="382">
        <f t="shared" si="3"/>
        <v>70992441.80640872</v>
      </c>
      <c r="AJ29" s="435">
        <f t="shared" si="4"/>
        <v>26445487.365559984</v>
      </c>
      <c r="AK29" s="35"/>
      <c r="AL29" s="424">
        <f t="shared" si="1"/>
        <v>464030.7754255077</v>
      </c>
      <c r="AM29" s="382">
        <f t="shared" si="2"/>
        <v>267850.06793953164</v>
      </c>
      <c r="AN29" s="56"/>
      <c r="AO29" s="160"/>
    </row>
    <row r="30" spans="2:41" ht="12.75">
      <c r="B30" s="15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60"/>
      <c r="AB30" s="159"/>
      <c r="AC30" s="56"/>
      <c r="AD30" s="56"/>
      <c r="AE30" s="56"/>
      <c r="AF30" s="56"/>
      <c r="AG30" s="35">
        <v>25</v>
      </c>
      <c r="AH30" s="382">
        <f t="shared" si="0"/>
        <v>731880.8433650393</v>
      </c>
      <c r="AI30" s="382">
        <f t="shared" si="3"/>
        <v>70260560.96304367</v>
      </c>
      <c r="AJ30" s="435">
        <f t="shared" si="4"/>
        <v>25981456.590134475</v>
      </c>
      <c r="AK30" s="35"/>
      <c r="AL30" s="424">
        <f t="shared" si="1"/>
        <v>461240.67055113753</v>
      </c>
      <c r="AM30" s="382">
        <f t="shared" si="2"/>
        <v>270640.1728139018</v>
      </c>
      <c r="AN30" s="56"/>
      <c r="AO30" s="160"/>
    </row>
    <row r="31" spans="2:41" ht="12.75">
      <c r="B31" s="159"/>
      <c r="C31" s="603" t="str">
        <f>P31</f>
        <v>شرکت البرز</v>
      </c>
      <c r="D31" s="704"/>
      <c r="E31" s="704"/>
      <c r="F31" s="704"/>
      <c r="G31" s="604"/>
      <c r="H31" s="361"/>
      <c r="I31" s="56"/>
      <c r="J31" s="603" t="str">
        <f>P31</f>
        <v>شرکت البرز</v>
      </c>
      <c r="K31" s="704"/>
      <c r="L31" s="704"/>
      <c r="M31" s="704"/>
      <c r="N31" s="604"/>
      <c r="O31" s="56"/>
      <c r="P31" s="603" t="s">
        <v>477</v>
      </c>
      <c r="Q31" s="704"/>
      <c r="R31" s="704"/>
      <c r="S31" s="704"/>
      <c r="T31" s="704"/>
      <c r="U31" s="704"/>
      <c r="V31" s="604"/>
      <c r="W31" s="160"/>
      <c r="AB31" s="159"/>
      <c r="AC31" s="56"/>
      <c r="AD31" s="56"/>
      <c r="AE31" s="56"/>
      <c r="AF31" s="56"/>
      <c r="AG31" s="35">
        <v>26</v>
      </c>
      <c r="AH31" s="382">
        <f t="shared" si="0"/>
        <v>731880.8433650393</v>
      </c>
      <c r="AI31" s="382">
        <f t="shared" si="3"/>
        <v>69528680.11967863</v>
      </c>
      <c r="AJ31" s="435">
        <f t="shared" si="4"/>
        <v>25520215.91958334</v>
      </c>
      <c r="AK31" s="35"/>
      <c r="AL31" s="424">
        <f t="shared" si="1"/>
        <v>458421.502084326</v>
      </c>
      <c r="AM31" s="382">
        <f t="shared" si="2"/>
        <v>273459.3412807133</v>
      </c>
      <c r="AN31" s="56"/>
      <c r="AO31" s="160"/>
    </row>
    <row r="32" spans="2:41" ht="12.75">
      <c r="B32" s="369"/>
      <c r="C32" s="705" t="s">
        <v>21</v>
      </c>
      <c r="D32" s="706"/>
      <c r="E32" s="706"/>
      <c r="F32" s="706"/>
      <c r="G32" s="707"/>
      <c r="H32" s="361"/>
      <c r="I32" s="56"/>
      <c r="J32" s="705" t="s">
        <v>476</v>
      </c>
      <c r="K32" s="706"/>
      <c r="L32" s="706"/>
      <c r="M32" s="706"/>
      <c r="N32" s="707"/>
      <c r="O32" s="56"/>
      <c r="P32" s="705" t="s">
        <v>506</v>
      </c>
      <c r="Q32" s="706"/>
      <c r="R32" s="706"/>
      <c r="S32" s="706"/>
      <c r="T32" s="706"/>
      <c r="U32" s="706"/>
      <c r="V32" s="707"/>
      <c r="W32" s="160"/>
      <c r="AB32" s="159"/>
      <c r="AC32" s="56"/>
      <c r="AD32" s="56"/>
      <c r="AE32" s="56"/>
      <c r="AF32" s="56"/>
      <c r="AG32" s="35">
        <v>27</v>
      </c>
      <c r="AH32" s="382">
        <f t="shared" si="0"/>
        <v>731880.8433650393</v>
      </c>
      <c r="AI32" s="382">
        <f t="shared" si="3"/>
        <v>68796799.27631359</v>
      </c>
      <c r="AJ32" s="435">
        <f t="shared" si="4"/>
        <v>25061794.417499013</v>
      </c>
      <c r="AK32" s="35"/>
      <c r="AL32" s="424">
        <f t="shared" si="1"/>
        <v>455572.9672793185</v>
      </c>
      <c r="AM32" s="382">
        <f t="shared" si="2"/>
        <v>276307.87608572084</v>
      </c>
      <c r="AN32" s="56"/>
      <c r="AO32" s="160"/>
    </row>
    <row r="33" spans="2:41" ht="12.75">
      <c r="B33" s="369"/>
      <c r="C33" s="708"/>
      <c r="D33" s="709"/>
      <c r="E33" s="709"/>
      <c r="F33" s="709"/>
      <c r="G33" s="710"/>
      <c r="H33" s="713" t="s">
        <v>478</v>
      </c>
      <c r="I33" s="56"/>
      <c r="J33" s="708"/>
      <c r="K33" s="709"/>
      <c r="L33" s="709"/>
      <c r="M33" s="709"/>
      <c r="N33" s="710"/>
      <c r="O33" s="56"/>
      <c r="P33" s="708"/>
      <c r="Q33" s="709"/>
      <c r="R33" s="709"/>
      <c r="S33" s="709"/>
      <c r="T33" s="709"/>
      <c r="U33" s="709"/>
      <c r="V33" s="710"/>
      <c r="W33" s="160"/>
      <c r="AB33" s="159"/>
      <c r="AC33" s="56"/>
      <c r="AD33" s="56"/>
      <c r="AE33" s="56"/>
      <c r="AF33" s="56"/>
      <c r="AG33" s="35">
        <v>28</v>
      </c>
      <c r="AH33" s="382">
        <f t="shared" si="0"/>
        <v>731880.8433650393</v>
      </c>
      <c r="AI33" s="382">
        <f t="shared" si="3"/>
        <v>68064918.43294854</v>
      </c>
      <c r="AJ33" s="435">
        <f t="shared" si="4"/>
        <v>24606221.450219695</v>
      </c>
      <c r="AK33" s="35"/>
      <c r="AL33" s="424">
        <f t="shared" si="1"/>
        <v>452694.76023675886</v>
      </c>
      <c r="AM33" s="382">
        <f t="shared" si="2"/>
        <v>279186.0831282805</v>
      </c>
      <c r="AN33" s="56"/>
      <c r="AO33" s="160"/>
    </row>
    <row r="34" spans="2:41" ht="15">
      <c r="B34" s="370"/>
      <c r="C34" s="697" t="s">
        <v>436</v>
      </c>
      <c r="D34" s="697"/>
      <c r="E34" s="697"/>
      <c r="F34" s="347" t="s">
        <v>437</v>
      </c>
      <c r="G34" s="347" t="s">
        <v>438</v>
      </c>
      <c r="H34" s="713"/>
      <c r="I34" s="341"/>
      <c r="J34" s="714" t="s">
        <v>40</v>
      </c>
      <c r="K34" s="715"/>
      <c r="L34" s="715"/>
      <c r="M34" s="344"/>
      <c r="N34" s="236">
        <v>30000</v>
      </c>
      <c r="O34" s="56"/>
      <c r="P34" s="247" t="s">
        <v>486</v>
      </c>
      <c r="Q34" s="150"/>
      <c r="R34" s="30"/>
      <c r="S34" s="30"/>
      <c r="T34" s="30"/>
      <c r="U34" s="30"/>
      <c r="V34" s="184"/>
      <c r="W34" s="160"/>
      <c r="AB34" s="159"/>
      <c r="AC34" s="56"/>
      <c r="AD34" s="56"/>
      <c r="AE34" s="56"/>
      <c r="AF34" s="56"/>
      <c r="AG34" s="35">
        <v>29</v>
      </c>
      <c r="AH34" s="382">
        <f t="shared" si="0"/>
        <v>731880.8433650393</v>
      </c>
      <c r="AI34" s="382">
        <f t="shared" si="3"/>
        <v>67333037.5895835</v>
      </c>
      <c r="AJ34" s="435">
        <f t="shared" si="4"/>
        <v>24153526.689982936</v>
      </c>
      <c r="AK34" s="35"/>
      <c r="AL34" s="424">
        <f t="shared" si="1"/>
        <v>449786.5718708392</v>
      </c>
      <c r="AM34" s="382">
        <f t="shared" si="2"/>
        <v>282094.2714942001</v>
      </c>
      <c r="AN34" s="56"/>
      <c r="AO34" s="160"/>
    </row>
    <row r="35" spans="2:41" ht="15.75" thickBot="1">
      <c r="B35" s="370"/>
      <c r="C35" s="698" t="s">
        <v>439</v>
      </c>
      <c r="D35" s="699"/>
      <c r="E35" s="699"/>
      <c r="F35" s="348"/>
      <c r="G35" s="349"/>
      <c r="H35" s="362"/>
      <c r="I35" s="342"/>
      <c r="J35" s="647" t="s">
        <v>475</v>
      </c>
      <c r="K35" s="648"/>
      <c r="L35" s="648"/>
      <c r="M35" s="229"/>
      <c r="N35" s="345">
        <v>10500</v>
      </c>
      <c r="O35" s="56"/>
      <c r="P35" s="654" t="s">
        <v>479</v>
      </c>
      <c r="Q35" s="655"/>
      <c r="R35" s="655"/>
      <c r="S35" s="655"/>
      <c r="T35" s="30"/>
      <c r="U35" s="30">
        <f>N34-H37</f>
        <v>28750</v>
      </c>
      <c r="V35" s="184"/>
      <c r="W35" s="160"/>
      <c r="AB35" s="159"/>
      <c r="AC35" s="56"/>
      <c r="AD35" s="56"/>
      <c r="AE35" s="56"/>
      <c r="AF35" s="56"/>
      <c r="AG35" s="35">
        <v>30</v>
      </c>
      <c r="AH35" s="382">
        <f t="shared" si="0"/>
        <v>731880.8433650393</v>
      </c>
      <c r="AI35" s="382">
        <f t="shared" si="3"/>
        <v>66601156.746218465</v>
      </c>
      <c r="AJ35" s="435">
        <f t="shared" si="4"/>
        <v>23703740.118112095</v>
      </c>
      <c r="AK35" s="35"/>
      <c r="AL35" s="424">
        <f t="shared" si="1"/>
        <v>446848.089876108</v>
      </c>
      <c r="AM35" s="382">
        <f t="shared" si="2"/>
        <v>285032.75348893134</v>
      </c>
      <c r="AN35" s="56"/>
      <c r="AO35" s="160"/>
    </row>
    <row r="36" spans="2:41" ht="15">
      <c r="B36" s="159"/>
      <c r="C36" s="700" t="s">
        <v>440</v>
      </c>
      <c r="D36" s="701"/>
      <c r="E36" s="701"/>
      <c r="F36" s="348">
        <v>2750</v>
      </c>
      <c r="G36" s="349">
        <v>2500</v>
      </c>
      <c r="H36" s="364">
        <f>F36-G36</f>
        <v>250</v>
      </c>
      <c r="I36" s="342"/>
      <c r="J36" s="647" t="s">
        <v>464</v>
      </c>
      <c r="K36" s="648"/>
      <c r="L36" s="648"/>
      <c r="M36" s="229"/>
      <c r="N36" s="230">
        <f>N34-N35</f>
        <v>19500</v>
      </c>
      <c r="O36" s="56"/>
      <c r="P36" s="654" t="s">
        <v>480</v>
      </c>
      <c r="Q36" s="655"/>
      <c r="R36" s="655"/>
      <c r="S36" s="655"/>
      <c r="T36" s="30">
        <f>N35+H38-H51-H52</f>
        <v>10000</v>
      </c>
      <c r="U36" s="30"/>
      <c r="V36" s="184"/>
      <c r="W36" s="160"/>
      <c r="AB36" s="159"/>
      <c r="AC36" s="56"/>
      <c r="AD36" s="56"/>
      <c r="AE36" s="56"/>
      <c r="AF36" s="56"/>
      <c r="AG36" s="35">
        <v>31</v>
      </c>
      <c r="AH36" s="382">
        <f t="shared" si="0"/>
        <v>731880.8433650393</v>
      </c>
      <c r="AI36" s="382">
        <f t="shared" si="3"/>
        <v>65869275.90285343</v>
      </c>
      <c r="AJ36" s="435">
        <f t="shared" si="4"/>
        <v>23256892.028235987</v>
      </c>
      <c r="AK36" s="35"/>
      <c r="AL36" s="424">
        <f t="shared" si="1"/>
        <v>443878.9986939317</v>
      </c>
      <c r="AM36" s="382">
        <f t="shared" si="2"/>
        <v>288001.84467110765</v>
      </c>
      <c r="AN36" s="56"/>
      <c r="AO36" s="160"/>
    </row>
    <row r="37" spans="2:41" ht="15">
      <c r="B37" s="159"/>
      <c r="C37" s="700" t="s">
        <v>441</v>
      </c>
      <c r="D37" s="701"/>
      <c r="E37" s="701"/>
      <c r="F37" s="348">
        <v>6000</v>
      </c>
      <c r="G37" s="349">
        <v>4750</v>
      </c>
      <c r="H37" s="364">
        <f aca="true" t="shared" si="13" ref="H37:H61">F37-G37</f>
        <v>1250</v>
      </c>
      <c r="I37" s="342"/>
      <c r="J37" s="702" t="s">
        <v>465</v>
      </c>
      <c r="K37" s="703" t="s">
        <v>465</v>
      </c>
      <c r="L37" s="703" t="s">
        <v>465</v>
      </c>
      <c r="M37" s="229"/>
      <c r="N37" s="230"/>
      <c r="O37" s="56"/>
      <c r="P37" s="654" t="s">
        <v>481</v>
      </c>
      <c r="Q37" s="655"/>
      <c r="R37" s="655"/>
      <c r="S37" s="655"/>
      <c r="T37" s="30">
        <f>M38-H50</f>
        <v>7750</v>
      </c>
      <c r="U37" s="30"/>
      <c r="V37" s="184"/>
      <c r="W37" s="160"/>
      <c r="AB37" s="159"/>
      <c r="AC37" s="56"/>
      <c r="AD37" s="56"/>
      <c r="AE37" s="56"/>
      <c r="AF37" s="56"/>
      <c r="AG37" s="35">
        <v>32</v>
      </c>
      <c r="AH37" s="382">
        <f t="shared" si="0"/>
        <v>731880.8433650393</v>
      </c>
      <c r="AI37" s="382">
        <f t="shared" si="3"/>
        <v>65137395.05948839</v>
      </c>
      <c r="AJ37" s="435">
        <f t="shared" si="4"/>
        <v>22813013.029542055</v>
      </c>
      <c r="AK37" s="35"/>
      <c r="AL37" s="424">
        <f t="shared" si="1"/>
        <v>440878.9794786077</v>
      </c>
      <c r="AM37" s="382">
        <f t="shared" si="2"/>
        <v>291001.8638864316</v>
      </c>
      <c r="AN37" s="56"/>
      <c r="AO37" s="160"/>
    </row>
    <row r="38" spans="2:41" ht="15">
      <c r="B38" s="159"/>
      <c r="C38" s="654" t="s">
        <v>442</v>
      </c>
      <c r="D38" s="655" t="s">
        <v>442</v>
      </c>
      <c r="E38" s="655" t="s">
        <v>442</v>
      </c>
      <c r="F38" s="348">
        <v>12500</v>
      </c>
      <c r="G38" s="349">
        <v>13000</v>
      </c>
      <c r="H38" s="364">
        <f t="shared" si="13"/>
        <v>-500</v>
      </c>
      <c r="I38" s="342"/>
      <c r="J38" s="702" t="s">
        <v>466</v>
      </c>
      <c r="K38" s="703" t="s">
        <v>466</v>
      </c>
      <c r="L38" s="703" t="s">
        <v>466</v>
      </c>
      <c r="M38" s="229">
        <v>7500</v>
      </c>
      <c r="N38" s="230"/>
      <c r="O38" s="56"/>
      <c r="P38" s="654" t="s">
        <v>482</v>
      </c>
      <c r="Q38" s="655"/>
      <c r="R38" s="655"/>
      <c r="S38" s="655"/>
      <c r="T38" s="30">
        <f>M39+H39</f>
        <v>1150</v>
      </c>
      <c r="U38" s="30"/>
      <c r="V38" s="184"/>
      <c r="W38" s="160"/>
      <c r="AB38" s="159"/>
      <c r="AC38" s="56"/>
      <c r="AD38" s="56"/>
      <c r="AE38" s="56"/>
      <c r="AF38" s="56"/>
      <c r="AG38" s="35">
        <v>33</v>
      </c>
      <c r="AH38" s="382">
        <f t="shared" si="0"/>
        <v>731880.8433650393</v>
      </c>
      <c r="AI38" s="382">
        <f t="shared" si="3"/>
        <v>64405514.21612336</v>
      </c>
      <c r="AJ38" s="435">
        <f t="shared" si="4"/>
        <v>22372134.050063446</v>
      </c>
      <c r="AK38" s="35"/>
      <c r="AL38" s="424">
        <f t="shared" si="1"/>
        <v>437847.7100631241</v>
      </c>
      <c r="AM38" s="382">
        <f t="shared" si="2"/>
        <v>294033.13330191525</v>
      </c>
      <c r="AN38" s="56"/>
      <c r="AO38" s="160"/>
    </row>
    <row r="39" spans="2:41" ht="15">
      <c r="B39" s="159"/>
      <c r="C39" s="654" t="s">
        <v>443</v>
      </c>
      <c r="D39" s="655" t="s">
        <v>443</v>
      </c>
      <c r="E39" s="655" t="s">
        <v>443</v>
      </c>
      <c r="F39" s="350">
        <v>1000</v>
      </c>
      <c r="G39" s="351">
        <v>750</v>
      </c>
      <c r="H39" s="364">
        <f t="shared" si="13"/>
        <v>250</v>
      </c>
      <c r="I39" s="342"/>
      <c r="J39" s="702" t="s">
        <v>467</v>
      </c>
      <c r="K39" s="703" t="s">
        <v>467</v>
      </c>
      <c r="L39" s="703" t="s">
        <v>467</v>
      </c>
      <c r="M39" s="229">
        <v>900</v>
      </c>
      <c r="N39" s="230"/>
      <c r="O39" s="56"/>
      <c r="P39" s="654" t="s">
        <v>483</v>
      </c>
      <c r="Q39" s="655"/>
      <c r="R39" s="655"/>
      <c r="S39" s="655"/>
      <c r="T39" s="30">
        <f>M43</f>
        <v>2000</v>
      </c>
      <c r="U39" s="30"/>
      <c r="V39" s="184"/>
      <c r="W39" s="160"/>
      <c r="AB39" s="159"/>
      <c r="AC39" s="56"/>
      <c r="AD39" s="56"/>
      <c r="AE39" s="56"/>
      <c r="AF39" s="56"/>
      <c r="AG39" s="269">
        <v>34</v>
      </c>
      <c r="AH39" s="382">
        <f t="shared" si="0"/>
        <v>731880.8433650393</v>
      </c>
      <c r="AI39" s="382">
        <f t="shared" si="3"/>
        <v>63673633.37275832</v>
      </c>
      <c r="AJ39" s="435">
        <f t="shared" si="4"/>
        <v>21934286.340000324</v>
      </c>
      <c r="AK39" s="35"/>
      <c r="AL39" s="424">
        <f t="shared" si="1"/>
        <v>434784.86492456245</v>
      </c>
      <c r="AM39" s="437">
        <f t="shared" si="2"/>
        <v>297095.9784404769</v>
      </c>
      <c r="AN39" s="56"/>
      <c r="AO39" s="160"/>
    </row>
    <row r="40" spans="2:41" ht="15.75" thickBot="1">
      <c r="B40" s="159"/>
      <c r="C40" s="654" t="s">
        <v>444</v>
      </c>
      <c r="D40" s="655" t="s">
        <v>444</v>
      </c>
      <c r="E40" s="655" t="s">
        <v>444</v>
      </c>
      <c r="F40" s="352">
        <v>22250</v>
      </c>
      <c r="G40" s="353">
        <v>21000</v>
      </c>
      <c r="H40" s="364"/>
      <c r="I40" s="343"/>
      <c r="J40" s="702" t="s">
        <v>67</v>
      </c>
      <c r="K40" s="703" t="s">
        <v>67</v>
      </c>
      <c r="L40" s="703" t="s">
        <v>67</v>
      </c>
      <c r="M40" s="346">
        <v>2300</v>
      </c>
      <c r="N40" s="345">
        <f>SUM(M38:M40)</f>
        <v>10700</v>
      </c>
      <c r="O40" s="56"/>
      <c r="P40" s="654" t="s">
        <v>484</v>
      </c>
      <c r="Q40" s="655"/>
      <c r="R40" s="655"/>
      <c r="S40" s="655"/>
      <c r="T40" s="30">
        <f>N47</f>
        <v>350</v>
      </c>
      <c r="U40" s="30">
        <f>SUM(T36:T40)</f>
        <v>21250</v>
      </c>
      <c r="V40" s="184"/>
      <c r="W40" s="160"/>
      <c r="AB40" s="159"/>
      <c r="AC40" s="56"/>
      <c r="AD40" s="56"/>
      <c r="AE40" s="56"/>
      <c r="AF40" s="56"/>
      <c r="AG40" s="35">
        <v>35</v>
      </c>
      <c r="AH40" s="382">
        <f t="shared" si="0"/>
        <v>731880.8433650393</v>
      </c>
      <c r="AI40" s="382">
        <f t="shared" si="3"/>
        <v>62941752.529393286</v>
      </c>
      <c r="AJ40" s="435">
        <f t="shared" si="4"/>
        <v>21499501.475075763</v>
      </c>
      <c r="AK40" s="35"/>
      <c r="AL40" s="424">
        <f t="shared" si="1"/>
        <v>431690.1151491408</v>
      </c>
      <c r="AM40" s="382">
        <f t="shared" si="2"/>
        <v>300190.7282158985</v>
      </c>
      <c r="AN40" s="56"/>
      <c r="AO40" s="160"/>
    </row>
    <row r="41" spans="2:41" ht="15">
      <c r="B41" s="159"/>
      <c r="C41" s="654" t="s">
        <v>445</v>
      </c>
      <c r="D41" s="655" t="s">
        <v>445</v>
      </c>
      <c r="E41" s="655" t="s">
        <v>445</v>
      </c>
      <c r="F41" s="348">
        <v>0</v>
      </c>
      <c r="G41" s="349">
        <v>2500</v>
      </c>
      <c r="H41" s="364">
        <f t="shared" si="13"/>
        <v>-2500</v>
      </c>
      <c r="I41" s="342"/>
      <c r="J41" s="702" t="s">
        <v>468</v>
      </c>
      <c r="K41" s="703" t="s">
        <v>468</v>
      </c>
      <c r="L41" s="703" t="s">
        <v>468</v>
      </c>
      <c r="M41" s="229"/>
      <c r="N41" s="230">
        <f>N36-N40</f>
        <v>8800</v>
      </c>
      <c r="O41" s="56"/>
      <c r="P41" s="685" t="s">
        <v>485</v>
      </c>
      <c r="Q41" s="607"/>
      <c r="R41" s="607"/>
      <c r="S41" s="607"/>
      <c r="T41" s="150"/>
      <c r="U41" s="150"/>
      <c r="V41" s="366">
        <f>U35-U40</f>
        <v>7500</v>
      </c>
      <c r="W41" s="160"/>
      <c r="AB41" s="159"/>
      <c r="AC41" s="56"/>
      <c r="AD41" s="56"/>
      <c r="AE41" s="56"/>
      <c r="AF41" s="56"/>
      <c r="AG41" s="35">
        <v>36</v>
      </c>
      <c r="AH41" s="382">
        <f t="shared" si="0"/>
        <v>731880.8433650393</v>
      </c>
      <c r="AI41" s="382">
        <f t="shared" si="3"/>
        <v>62209871.68602825</v>
      </c>
      <c r="AJ41" s="435">
        <f t="shared" si="4"/>
        <v>21067811.359926622</v>
      </c>
      <c r="AK41" s="35"/>
      <c r="AL41" s="424">
        <f t="shared" si="1"/>
        <v>428563.128396892</v>
      </c>
      <c r="AM41" s="382">
        <f t="shared" si="2"/>
        <v>303317.71496814734</v>
      </c>
      <c r="AN41" s="56"/>
      <c r="AO41" s="160"/>
    </row>
    <row r="42" spans="2:41" ht="15">
      <c r="B42" s="159"/>
      <c r="C42" s="654" t="s">
        <v>446</v>
      </c>
      <c r="D42" s="655" t="s">
        <v>446</v>
      </c>
      <c r="E42" s="655" t="s">
        <v>446</v>
      </c>
      <c r="F42" s="348"/>
      <c r="G42" s="349"/>
      <c r="H42" s="364"/>
      <c r="I42" s="342"/>
      <c r="J42" s="702" t="s">
        <v>469</v>
      </c>
      <c r="K42" s="703" t="s">
        <v>469</v>
      </c>
      <c r="L42" s="703" t="s">
        <v>469</v>
      </c>
      <c r="M42" s="229"/>
      <c r="N42" s="230"/>
      <c r="O42" s="56"/>
      <c r="P42" s="685" t="s">
        <v>487</v>
      </c>
      <c r="Q42" s="607"/>
      <c r="R42" s="607"/>
      <c r="S42" s="607"/>
      <c r="T42" s="30"/>
      <c r="U42" s="30"/>
      <c r="V42" s="184"/>
      <c r="W42" s="160"/>
      <c r="AB42" s="159"/>
      <c r="AC42" s="56"/>
      <c r="AD42" s="56"/>
      <c r="AE42" s="56"/>
      <c r="AF42" s="56"/>
      <c r="AG42" s="35">
        <v>37</v>
      </c>
      <c r="AH42" s="382">
        <f t="shared" si="0"/>
        <v>731880.8433650393</v>
      </c>
      <c r="AI42" s="382">
        <f t="shared" si="3"/>
        <v>61477990.84266321</v>
      </c>
      <c r="AJ42" s="435">
        <f t="shared" si="4"/>
        <v>20639248.23152973</v>
      </c>
      <c r="AK42" s="35"/>
      <c r="AL42" s="424">
        <f t="shared" si="1"/>
        <v>425403.5688659738</v>
      </c>
      <c r="AM42" s="382">
        <f t="shared" si="2"/>
        <v>306477.27449906553</v>
      </c>
      <c r="AN42" s="56"/>
      <c r="AO42" s="160"/>
    </row>
    <row r="43" spans="2:41" ht="15">
      <c r="B43" s="159"/>
      <c r="C43" s="654" t="s">
        <v>447</v>
      </c>
      <c r="D43" s="655" t="s">
        <v>447</v>
      </c>
      <c r="E43" s="655" t="s">
        <v>447</v>
      </c>
      <c r="F43" s="348">
        <v>15500</v>
      </c>
      <c r="G43" s="349">
        <v>10000</v>
      </c>
      <c r="H43" s="364">
        <f t="shared" si="13"/>
        <v>5500</v>
      </c>
      <c r="I43" s="342"/>
      <c r="J43" s="702" t="s">
        <v>104</v>
      </c>
      <c r="K43" s="703" t="s">
        <v>104</v>
      </c>
      <c r="L43" s="703" t="s">
        <v>104</v>
      </c>
      <c r="M43" s="229">
        <v>2000</v>
      </c>
      <c r="N43" s="230"/>
      <c r="O43" s="56"/>
      <c r="P43" s="654" t="s">
        <v>488</v>
      </c>
      <c r="Q43" s="655"/>
      <c r="R43" s="655"/>
      <c r="S43" s="655"/>
      <c r="T43" s="30">
        <f>N53</f>
        <v>3000</v>
      </c>
      <c r="U43" s="30"/>
      <c r="V43" s="184"/>
      <c r="W43" s="160"/>
      <c r="AB43" s="159"/>
      <c r="AC43" s="56"/>
      <c r="AD43" s="56"/>
      <c r="AE43" s="56"/>
      <c r="AF43" s="56"/>
      <c r="AG43" s="35">
        <v>38</v>
      </c>
      <c r="AH43" s="382">
        <f t="shared" si="0"/>
        <v>731880.8433650393</v>
      </c>
      <c r="AI43" s="382">
        <f t="shared" si="3"/>
        <v>60746109.99929818</v>
      </c>
      <c r="AJ43" s="435">
        <f t="shared" si="4"/>
        <v>20213844.662663758</v>
      </c>
      <c r="AK43" s="35"/>
      <c r="AL43" s="424">
        <f t="shared" si="1"/>
        <v>422211.09725660854</v>
      </c>
      <c r="AM43" s="382">
        <f t="shared" si="2"/>
        <v>309669.7461084308</v>
      </c>
      <c r="AN43" s="56"/>
      <c r="AO43" s="160"/>
    </row>
    <row r="44" spans="2:41" ht="15">
      <c r="B44" s="159"/>
      <c r="C44" s="654" t="s">
        <v>448</v>
      </c>
      <c r="D44" s="655" t="s">
        <v>448</v>
      </c>
      <c r="E44" s="655" t="s">
        <v>448</v>
      </c>
      <c r="F44" s="348">
        <v>31250</v>
      </c>
      <c r="G44" s="349">
        <v>33750</v>
      </c>
      <c r="H44" s="364">
        <f t="shared" si="13"/>
        <v>-2500</v>
      </c>
      <c r="I44" s="342"/>
      <c r="J44" s="702" t="s">
        <v>470</v>
      </c>
      <c r="K44" s="703" t="s">
        <v>470</v>
      </c>
      <c r="L44" s="703" t="s">
        <v>470</v>
      </c>
      <c r="M44" s="229">
        <v>500</v>
      </c>
      <c r="N44" s="230"/>
      <c r="O44" s="56"/>
      <c r="P44" s="654" t="s">
        <v>490</v>
      </c>
      <c r="Q44" s="655"/>
      <c r="R44" s="655"/>
      <c r="S44" s="655"/>
      <c r="T44" s="30">
        <f>N54</f>
        <v>1750</v>
      </c>
      <c r="U44" s="30"/>
      <c r="V44" s="184"/>
      <c r="W44" s="160"/>
      <c r="AB44" s="159"/>
      <c r="AC44" s="56"/>
      <c r="AD44" s="56"/>
      <c r="AE44" s="56"/>
      <c r="AF44" s="56"/>
      <c r="AG44" s="35">
        <v>39</v>
      </c>
      <c r="AH44" s="382">
        <f t="shared" si="0"/>
        <v>731880.8433650393</v>
      </c>
      <c r="AI44" s="382">
        <f t="shared" si="3"/>
        <v>60014229.15593314</v>
      </c>
      <c r="AJ44" s="435">
        <f t="shared" si="4"/>
        <v>19791633.56540715</v>
      </c>
      <c r="AK44" s="35"/>
      <c r="AL44" s="424">
        <f t="shared" si="1"/>
        <v>418985.37073464575</v>
      </c>
      <c r="AM44" s="382">
        <f t="shared" si="2"/>
        <v>312895.4726303936</v>
      </c>
      <c r="AN44" s="56"/>
      <c r="AO44" s="160"/>
    </row>
    <row r="45" spans="2:41" ht="15.75" thickBot="1">
      <c r="B45" s="159"/>
      <c r="C45" s="654" t="s">
        <v>449</v>
      </c>
      <c r="D45" s="655" t="s">
        <v>449</v>
      </c>
      <c r="E45" s="655" t="s">
        <v>449</v>
      </c>
      <c r="F45" s="350">
        <v>-10050</v>
      </c>
      <c r="G45" s="351">
        <v>-10000</v>
      </c>
      <c r="H45" s="364">
        <f t="shared" si="13"/>
        <v>-50</v>
      </c>
      <c r="I45" s="342"/>
      <c r="J45" s="702" t="s">
        <v>471</v>
      </c>
      <c r="K45" s="703" t="s">
        <v>471</v>
      </c>
      <c r="L45" s="703" t="s">
        <v>471</v>
      </c>
      <c r="M45" s="346">
        <v>500</v>
      </c>
      <c r="N45" s="345">
        <f>M43+M44-M45</f>
        <v>2000</v>
      </c>
      <c r="O45" s="56"/>
      <c r="P45" s="654" t="s">
        <v>489</v>
      </c>
      <c r="Q45" s="655"/>
      <c r="R45" s="655"/>
      <c r="S45" s="655"/>
      <c r="T45" s="30">
        <f>N51</f>
        <v>-1250</v>
      </c>
      <c r="U45" s="30"/>
      <c r="V45" s="184"/>
      <c r="W45" s="160"/>
      <c r="AB45" s="159"/>
      <c r="AC45" s="56"/>
      <c r="AD45" s="56"/>
      <c r="AE45" s="56"/>
      <c r="AF45" s="56"/>
      <c r="AG45" s="35">
        <v>40</v>
      </c>
      <c r="AH45" s="382">
        <f t="shared" si="0"/>
        <v>731880.8433650393</v>
      </c>
      <c r="AI45" s="382">
        <f t="shared" si="3"/>
        <v>59282348.312568106</v>
      </c>
      <c r="AJ45" s="435">
        <f t="shared" si="4"/>
        <v>19372648.194672503</v>
      </c>
      <c r="AK45" s="35"/>
      <c r="AL45" s="424">
        <f t="shared" si="1"/>
        <v>415726.0428947458</v>
      </c>
      <c r="AM45" s="382">
        <f t="shared" si="2"/>
        <v>316154.8004702935</v>
      </c>
      <c r="AN45" s="56"/>
      <c r="AO45" s="160"/>
    </row>
    <row r="46" spans="2:41" ht="15">
      <c r="B46" s="159"/>
      <c r="C46" s="654" t="s">
        <v>450</v>
      </c>
      <c r="D46" s="655" t="s">
        <v>450</v>
      </c>
      <c r="E46" s="655" t="s">
        <v>450</v>
      </c>
      <c r="F46" s="354">
        <v>36700</v>
      </c>
      <c r="G46" s="355">
        <v>23750</v>
      </c>
      <c r="H46" s="364"/>
      <c r="I46" s="343"/>
      <c r="J46" s="702" t="s">
        <v>472</v>
      </c>
      <c r="K46" s="703" t="s">
        <v>472</v>
      </c>
      <c r="L46" s="703" t="s">
        <v>472</v>
      </c>
      <c r="M46" s="229"/>
      <c r="N46" s="230">
        <f>N41-N45</f>
        <v>6800</v>
      </c>
      <c r="O46" s="56"/>
      <c r="P46" s="654" t="s">
        <v>491</v>
      </c>
      <c r="Q46" s="655"/>
      <c r="R46" s="655"/>
      <c r="S46" s="655"/>
      <c r="T46" s="30">
        <f>N52</f>
        <v>-7500</v>
      </c>
      <c r="U46" s="30"/>
      <c r="V46" s="184"/>
      <c r="W46" s="160"/>
      <c r="AB46" s="159"/>
      <c r="AC46" s="56"/>
      <c r="AD46" s="56"/>
      <c r="AE46" s="56"/>
      <c r="AF46" s="56"/>
      <c r="AG46" s="35">
        <v>41</v>
      </c>
      <c r="AH46" s="382">
        <f t="shared" si="0"/>
        <v>731880.8433650393</v>
      </c>
      <c r="AI46" s="382">
        <f t="shared" si="3"/>
        <v>58550467.46920307</v>
      </c>
      <c r="AJ46" s="435">
        <f t="shared" si="4"/>
        <v>18956922.151777755</v>
      </c>
      <c r="AK46" s="35"/>
      <c r="AL46" s="424">
        <f t="shared" si="1"/>
        <v>412432.7637231803</v>
      </c>
      <c r="AM46" s="382">
        <f t="shared" si="2"/>
        <v>319448.07964185905</v>
      </c>
      <c r="AN46" s="56"/>
      <c r="AO46" s="160"/>
    </row>
    <row r="47" spans="2:41" ht="15.75" thickBot="1">
      <c r="B47" s="159"/>
      <c r="C47" s="656" t="s">
        <v>451</v>
      </c>
      <c r="D47" s="657" t="s">
        <v>451</v>
      </c>
      <c r="E47" s="657" t="s">
        <v>451</v>
      </c>
      <c r="F47" s="356">
        <v>58950</v>
      </c>
      <c r="G47" s="357">
        <v>47250</v>
      </c>
      <c r="H47" s="364"/>
      <c r="I47" s="341"/>
      <c r="J47" s="702" t="s">
        <v>473</v>
      </c>
      <c r="K47" s="703" t="s">
        <v>473</v>
      </c>
      <c r="L47" s="703" t="s">
        <v>473</v>
      </c>
      <c r="M47" s="229"/>
      <c r="N47" s="345">
        <v>350</v>
      </c>
      <c r="O47" s="56"/>
      <c r="P47" s="685" t="s">
        <v>499</v>
      </c>
      <c r="Q47" s="607"/>
      <c r="R47" s="607"/>
      <c r="S47" s="607"/>
      <c r="T47" s="30"/>
      <c r="U47" s="30"/>
      <c r="V47" s="366">
        <f>SUM(T43:T46)</f>
        <v>-4000</v>
      </c>
      <c r="W47" s="160"/>
      <c r="AB47" s="159"/>
      <c r="AC47" s="56"/>
      <c r="AD47" s="56"/>
      <c r="AE47" s="56"/>
      <c r="AF47" s="56"/>
      <c r="AG47" s="35">
        <v>42</v>
      </c>
      <c r="AH47" s="382">
        <f t="shared" si="0"/>
        <v>731880.8433650393</v>
      </c>
      <c r="AI47" s="382">
        <f t="shared" si="3"/>
        <v>57818586.625838034</v>
      </c>
      <c r="AJ47" s="435">
        <f t="shared" si="4"/>
        <v>18544489.388054576</v>
      </c>
      <c r="AK47" s="35"/>
      <c r="AL47" s="424">
        <f t="shared" si="1"/>
        <v>409105.1795602444</v>
      </c>
      <c r="AM47" s="382">
        <f t="shared" si="2"/>
        <v>322775.66380479495</v>
      </c>
      <c r="AN47" s="56"/>
      <c r="AO47" s="160"/>
    </row>
    <row r="48" spans="2:41" ht="15.75" thickTop="1">
      <c r="B48" s="159"/>
      <c r="C48" s="595" t="s">
        <v>452</v>
      </c>
      <c r="D48" s="596" t="s">
        <v>452</v>
      </c>
      <c r="E48" s="596" t="s">
        <v>452</v>
      </c>
      <c r="F48" s="358"/>
      <c r="G48" s="359"/>
      <c r="H48" s="364"/>
      <c r="I48" s="341"/>
      <c r="J48" s="711" t="s">
        <v>474</v>
      </c>
      <c r="K48" s="712" t="s">
        <v>474</v>
      </c>
      <c r="L48" s="712" t="s">
        <v>474</v>
      </c>
      <c r="M48" s="232"/>
      <c r="N48" s="235">
        <f>N46-N47</f>
        <v>6450</v>
      </c>
      <c r="O48" s="56"/>
      <c r="P48" s="685" t="s">
        <v>500</v>
      </c>
      <c r="Q48" s="607"/>
      <c r="R48" s="607"/>
      <c r="S48" s="607"/>
      <c r="T48" s="30"/>
      <c r="U48" s="30"/>
      <c r="V48" s="184"/>
      <c r="W48" s="160"/>
      <c r="AB48" s="159"/>
      <c r="AC48" s="56"/>
      <c r="AD48" s="56"/>
      <c r="AE48" s="56"/>
      <c r="AF48" s="56"/>
      <c r="AG48" s="35">
        <v>43</v>
      </c>
      <c r="AH48" s="382">
        <f t="shared" si="0"/>
        <v>731880.8433650393</v>
      </c>
      <c r="AI48" s="382">
        <f t="shared" si="3"/>
        <v>57086705.782473</v>
      </c>
      <c r="AJ48" s="435">
        <f t="shared" si="4"/>
        <v>18135384.20849433</v>
      </c>
      <c r="AK48" s="35"/>
      <c r="AL48" s="424">
        <f t="shared" si="1"/>
        <v>405742.93306227773</v>
      </c>
      <c r="AM48" s="382">
        <f t="shared" si="2"/>
        <v>326137.9103027616</v>
      </c>
      <c r="AN48" s="56"/>
      <c r="AO48" s="160"/>
    </row>
    <row r="49" spans="2:41" ht="15">
      <c r="B49" s="159"/>
      <c r="C49" s="654" t="s">
        <v>453</v>
      </c>
      <c r="D49" s="655" t="s">
        <v>453</v>
      </c>
      <c r="E49" s="655" t="s">
        <v>453</v>
      </c>
      <c r="F49" s="358"/>
      <c r="G49" s="359"/>
      <c r="H49" s="364"/>
      <c r="I49" s="341"/>
      <c r="J49" s="56"/>
      <c r="K49" s="56"/>
      <c r="L49" s="56"/>
      <c r="M49" s="56"/>
      <c r="N49" s="56"/>
      <c r="O49" s="56"/>
      <c r="P49" s="654" t="s">
        <v>501</v>
      </c>
      <c r="Q49" s="655"/>
      <c r="R49" s="655"/>
      <c r="S49" s="655"/>
      <c r="T49" s="30"/>
      <c r="U49" s="30">
        <f>N56</f>
        <v>-3250</v>
      </c>
      <c r="V49" s="184"/>
      <c r="W49" s="160"/>
      <c r="AB49" s="159"/>
      <c r="AC49" s="56"/>
      <c r="AD49" s="56"/>
      <c r="AE49" s="56"/>
      <c r="AF49" s="56"/>
      <c r="AG49" s="35">
        <v>44</v>
      </c>
      <c r="AH49" s="382">
        <f t="shared" si="0"/>
        <v>731880.8433650393</v>
      </c>
      <c r="AI49" s="382">
        <f t="shared" si="3"/>
        <v>56354824.93910796</v>
      </c>
      <c r="AJ49" s="435">
        <f t="shared" si="4"/>
        <v>17729641.275432054</v>
      </c>
      <c r="AK49" s="35"/>
      <c r="AL49" s="424">
        <f t="shared" si="1"/>
        <v>402345.66316329065</v>
      </c>
      <c r="AM49" s="382">
        <f t="shared" si="2"/>
        <v>329535.1802017487</v>
      </c>
      <c r="AN49" s="56"/>
      <c r="AO49" s="160"/>
    </row>
    <row r="50" spans="2:41" ht="15">
      <c r="B50" s="159"/>
      <c r="C50" s="654" t="s">
        <v>139</v>
      </c>
      <c r="D50" s="655" t="s">
        <v>139</v>
      </c>
      <c r="E50" s="655" t="s">
        <v>139</v>
      </c>
      <c r="F50" s="348">
        <v>500</v>
      </c>
      <c r="G50" s="349">
        <v>750</v>
      </c>
      <c r="H50" s="364">
        <f t="shared" si="13"/>
        <v>-250</v>
      </c>
      <c r="I50" s="342"/>
      <c r="J50" s="571" t="s">
        <v>494</v>
      </c>
      <c r="K50" s="571"/>
      <c r="L50" s="571"/>
      <c r="M50" s="571"/>
      <c r="N50" s="571"/>
      <c r="O50" s="56"/>
      <c r="P50" s="685" t="s">
        <v>502</v>
      </c>
      <c r="Q50" s="607"/>
      <c r="R50" s="607"/>
      <c r="S50" s="607"/>
      <c r="T50" s="30"/>
      <c r="U50" s="30"/>
      <c r="V50" s="367">
        <f>U49</f>
        <v>-3250</v>
      </c>
      <c r="W50" s="160"/>
      <c r="AB50" s="159"/>
      <c r="AC50" s="56"/>
      <c r="AD50" s="56"/>
      <c r="AE50" s="56"/>
      <c r="AF50" s="56"/>
      <c r="AG50" s="35">
        <v>45</v>
      </c>
      <c r="AH50" s="382">
        <f t="shared" si="0"/>
        <v>731880.8433650393</v>
      </c>
      <c r="AI50" s="382">
        <f t="shared" si="3"/>
        <v>55622944.095742926</v>
      </c>
      <c r="AJ50" s="435">
        <f t="shared" si="4"/>
        <v>17327295.612268765</v>
      </c>
      <c r="AK50" s="35"/>
      <c r="AL50" s="424">
        <f t="shared" si="1"/>
        <v>398913.0050361892</v>
      </c>
      <c r="AM50" s="382">
        <f t="shared" si="2"/>
        <v>332967.8383288501</v>
      </c>
      <c r="AN50" s="56"/>
      <c r="AO50" s="160"/>
    </row>
    <row r="51" spans="2:41" ht="15">
      <c r="B51" s="159"/>
      <c r="C51" s="654" t="s">
        <v>138</v>
      </c>
      <c r="D51" s="655" t="s">
        <v>138</v>
      </c>
      <c r="E51" s="655" t="s">
        <v>138</v>
      </c>
      <c r="F51" s="348">
        <v>2000</v>
      </c>
      <c r="G51" s="349">
        <v>3000</v>
      </c>
      <c r="H51" s="364">
        <f t="shared" si="13"/>
        <v>-1000</v>
      </c>
      <c r="I51" s="342"/>
      <c r="J51" s="574" t="s">
        <v>493</v>
      </c>
      <c r="K51" s="574"/>
      <c r="L51" s="574"/>
      <c r="M51" s="56"/>
      <c r="N51" s="56">
        <f>3750/-3</f>
        <v>-1250</v>
      </c>
      <c r="O51" s="56"/>
      <c r="P51" s="682" t="s">
        <v>503</v>
      </c>
      <c r="Q51" s="695"/>
      <c r="R51" s="695"/>
      <c r="S51" s="695"/>
      <c r="T51" s="30"/>
      <c r="U51" s="30"/>
      <c r="V51" s="184">
        <f>SUM(V41:V50)</f>
        <v>250</v>
      </c>
      <c r="W51" s="160"/>
      <c r="AB51" s="159"/>
      <c r="AC51" s="56"/>
      <c r="AD51" s="56"/>
      <c r="AE51" s="56"/>
      <c r="AF51" s="56"/>
      <c r="AG51" s="35">
        <v>46</v>
      </c>
      <c r="AH51" s="382">
        <f t="shared" si="0"/>
        <v>731880.8433650393</v>
      </c>
      <c r="AI51" s="382">
        <f t="shared" si="3"/>
        <v>54891063.25237789</v>
      </c>
      <c r="AJ51" s="435">
        <f t="shared" si="4"/>
        <v>16928382.607232574</v>
      </c>
      <c r="AK51" s="35"/>
      <c r="AL51" s="424">
        <f t="shared" si="1"/>
        <v>395444.590053597</v>
      </c>
      <c r="AM51" s="382">
        <f t="shared" si="2"/>
        <v>336436.2533114423</v>
      </c>
      <c r="AN51" s="56"/>
      <c r="AO51" s="160"/>
    </row>
    <row r="52" spans="2:41" ht="15">
      <c r="B52" s="159"/>
      <c r="C52" s="654" t="s">
        <v>454</v>
      </c>
      <c r="D52" s="655" t="s">
        <v>454</v>
      </c>
      <c r="E52" s="655" t="s">
        <v>454</v>
      </c>
      <c r="F52" s="350">
        <v>3250</v>
      </c>
      <c r="G52" s="351">
        <v>2250</v>
      </c>
      <c r="H52" s="364">
        <f t="shared" si="13"/>
        <v>1000</v>
      </c>
      <c r="I52" s="342"/>
      <c r="J52" s="574" t="s">
        <v>495</v>
      </c>
      <c r="K52" s="574"/>
      <c r="L52" s="574"/>
      <c r="M52" s="56"/>
      <c r="N52" s="56">
        <v>-7500</v>
      </c>
      <c r="O52" s="56"/>
      <c r="P52" s="682" t="s">
        <v>504</v>
      </c>
      <c r="Q52" s="695"/>
      <c r="R52" s="695"/>
      <c r="S52" s="695"/>
      <c r="T52" s="30"/>
      <c r="U52" s="30"/>
      <c r="V52" s="185">
        <f>G36</f>
        <v>2500</v>
      </c>
      <c r="W52" s="160"/>
      <c r="AB52" s="159"/>
      <c r="AC52" s="56"/>
      <c r="AD52" s="56"/>
      <c r="AE52" s="56"/>
      <c r="AF52" s="56"/>
      <c r="AG52" s="35">
        <v>47</v>
      </c>
      <c r="AH52" s="382">
        <f t="shared" si="0"/>
        <v>731880.8433650393</v>
      </c>
      <c r="AI52" s="382">
        <f t="shared" si="3"/>
        <v>54159182.409012854</v>
      </c>
      <c r="AJ52" s="435">
        <f t="shared" si="4"/>
        <v>16532938.017178977</v>
      </c>
      <c r="AK52" s="35"/>
      <c r="AL52" s="424">
        <f t="shared" si="1"/>
        <v>391940.04574826953</v>
      </c>
      <c r="AM52" s="382">
        <f t="shared" si="2"/>
        <v>339940.7976167698</v>
      </c>
      <c r="AN52" s="56"/>
      <c r="AO52" s="160"/>
    </row>
    <row r="53" spans="2:41" ht="15">
      <c r="B53" s="159"/>
      <c r="C53" s="654" t="s">
        <v>455</v>
      </c>
      <c r="D53" s="655" t="s">
        <v>455</v>
      </c>
      <c r="E53" s="655" t="s">
        <v>455</v>
      </c>
      <c r="F53" s="352">
        <v>5750</v>
      </c>
      <c r="G53" s="353">
        <v>6000</v>
      </c>
      <c r="H53" s="364"/>
      <c r="I53" s="343"/>
      <c r="J53" s="574" t="s">
        <v>492</v>
      </c>
      <c r="K53" s="574"/>
      <c r="L53" s="574"/>
      <c r="M53" s="56"/>
      <c r="N53" s="56">
        <v>3000</v>
      </c>
      <c r="O53" s="56"/>
      <c r="P53" s="696" t="s">
        <v>505</v>
      </c>
      <c r="Q53" s="663"/>
      <c r="R53" s="663"/>
      <c r="S53" s="663"/>
      <c r="T53" s="50"/>
      <c r="U53" s="50"/>
      <c r="V53" s="187">
        <f>SUM(V51:V52)</f>
        <v>2750</v>
      </c>
      <c r="W53" s="160"/>
      <c r="AB53" s="159"/>
      <c r="AC53" s="56"/>
      <c r="AD53" s="56"/>
      <c r="AE53" s="56"/>
      <c r="AF53" s="56"/>
      <c r="AG53" s="35">
        <v>48</v>
      </c>
      <c r="AH53" s="382">
        <f t="shared" si="0"/>
        <v>731880.8433650393</v>
      </c>
      <c r="AI53" s="382">
        <f t="shared" si="3"/>
        <v>53427301.56564782</v>
      </c>
      <c r="AJ53" s="435">
        <f t="shared" si="4"/>
        <v>16140997.971430708</v>
      </c>
      <c r="AK53" s="35"/>
      <c r="AL53" s="424">
        <f t="shared" si="1"/>
        <v>388398.9957730948</v>
      </c>
      <c r="AM53" s="382">
        <f t="shared" si="2"/>
        <v>343481.8475919445</v>
      </c>
      <c r="AN53" s="56"/>
      <c r="AO53" s="160"/>
    </row>
    <row r="54" spans="2:41" ht="15">
      <c r="B54" s="159"/>
      <c r="C54" s="654" t="s">
        <v>456</v>
      </c>
      <c r="D54" s="655" t="s">
        <v>456</v>
      </c>
      <c r="E54" s="655" t="s">
        <v>456</v>
      </c>
      <c r="F54" s="350">
        <v>8750</v>
      </c>
      <c r="G54" s="351">
        <v>7500</v>
      </c>
      <c r="H54" s="364">
        <f t="shared" si="13"/>
        <v>1250</v>
      </c>
      <c r="I54" s="342"/>
      <c r="J54" s="574" t="s">
        <v>496</v>
      </c>
      <c r="K54" s="574"/>
      <c r="L54" s="574"/>
      <c r="M54" s="56"/>
      <c r="N54" s="56">
        <v>1750</v>
      </c>
      <c r="O54" s="56"/>
      <c r="P54" s="368" t="s">
        <v>507</v>
      </c>
      <c r="Q54" s="182"/>
      <c r="R54" s="182"/>
      <c r="S54" s="182"/>
      <c r="T54" s="182"/>
      <c r="U54" s="182"/>
      <c r="V54" s="183"/>
      <c r="W54" s="160"/>
      <c r="AB54" s="159"/>
      <c r="AC54" s="56"/>
      <c r="AD54" s="56"/>
      <c r="AE54" s="56"/>
      <c r="AF54" s="56"/>
      <c r="AG54" s="35">
        <v>49</v>
      </c>
      <c r="AH54" s="382">
        <f t="shared" si="0"/>
        <v>731880.8433650393</v>
      </c>
      <c r="AI54" s="382">
        <f t="shared" si="3"/>
        <v>52695420.72228278</v>
      </c>
      <c r="AJ54" s="435">
        <f t="shared" si="4"/>
        <v>15752598.975657612</v>
      </c>
      <c r="AK54" s="35"/>
      <c r="AL54" s="424">
        <f t="shared" si="1"/>
        <v>384821.05986067886</v>
      </c>
      <c r="AM54" s="382">
        <f t="shared" si="2"/>
        <v>347059.7835043605</v>
      </c>
      <c r="AN54" s="56"/>
      <c r="AO54" s="160"/>
    </row>
    <row r="55" spans="2:41" ht="15">
      <c r="B55" s="159"/>
      <c r="C55" s="654" t="s">
        <v>457</v>
      </c>
      <c r="D55" s="655" t="s">
        <v>457</v>
      </c>
      <c r="E55" s="655" t="s">
        <v>457</v>
      </c>
      <c r="F55" s="352">
        <v>14500</v>
      </c>
      <c r="G55" s="353">
        <v>13500</v>
      </c>
      <c r="H55" s="364"/>
      <c r="I55" s="343"/>
      <c r="J55" s="574" t="s">
        <v>497</v>
      </c>
      <c r="K55" s="574"/>
      <c r="L55" s="574"/>
      <c r="M55" s="56"/>
      <c r="N55" s="56">
        <v>-1250</v>
      </c>
      <c r="O55" s="56"/>
      <c r="P55" s="189" t="s">
        <v>508</v>
      </c>
      <c r="Q55" s="30"/>
      <c r="R55" s="30"/>
      <c r="S55" s="30"/>
      <c r="T55" s="30"/>
      <c r="U55" s="30"/>
      <c r="V55" s="184">
        <v>2500</v>
      </c>
      <c r="W55" s="160"/>
      <c r="AB55" s="159"/>
      <c r="AC55" s="56"/>
      <c r="AD55" s="56"/>
      <c r="AE55" s="56"/>
      <c r="AF55" s="56"/>
      <c r="AG55" s="35">
        <v>50</v>
      </c>
      <c r="AH55" s="382">
        <f t="shared" si="0"/>
        <v>731880.8433650393</v>
      </c>
      <c r="AI55" s="382">
        <f t="shared" si="3"/>
        <v>51963539.878917746</v>
      </c>
      <c r="AJ55" s="435">
        <f t="shared" si="4"/>
        <v>15367777.915796934</v>
      </c>
      <c r="AK55" s="35"/>
      <c r="AL55" s="424">
        <f t="shared" si="1"/>
        <v>381205.8537825084</v>
      </c>
      <c r="AM55" s="382">
        <f t="shared" si="2"/>
        <v>350674.9895825309</v>
      </c>
      <c r="AN55" s="56"/>
      <c r="AO55" s="160"/>
    </row>
    <row r="56" spans="2:41" ht="15">
      <c r="B56" s="159"/>
      <c r="C56" s="595" t="s">
        <v>458</v>
      </c>
      <c r="D56" s="596" t="s">
        <v>458</v>
      </c>
      <c r="E56" s="596" t="s">
        <v>458</v>
      </c>
      <c r="F56" s="348"/>
      <c r="G56" s="349"/>
      <c r="H56" s="364"/>
      <c r="I56" s="342"/>
      <c r="J56" s="56" t="s">
        <v>498</v>
      </c>
      <c r="K56" s="56"/>
      <c r="L56" s="56"/>
      <c r="M56" s="56"/>
      <c r="N56" s="56">
        <f>F61-G61-N48</f>
        <v>-3250</v>
      </c>
      <c r="O56" s="56"/>
      <c r="P56" s="189" t="s">
        <v>509</v>
      </c>
      <c r="Q56" s="30"/>
      <c r="R56" s="30"/>
      <c r="S56" s="30"/>
      <c r="T56" s="30"/>
      <c r="U56" s="30"/>
      <c r="V56" s="184">
        <v>1250</v>
      </c>
      <c r="W56" s="160"/>
      <c r="AB56" s="159"/>
      <c r="AC56" s="56"/>
      <c r="AD56" s="56"/>
      <c r="AE56" s="56"/>
      <c r="AF56" s="56"/>
      <c r="AG56" s="35">
        <v>51</v>
      </c>
      <c r="AH56" s="382">
        <f t="shared" si="0"/>
        <v>731880.8433650393</v>
      </c>
      <c r="AI56" s="382">
        <f t="shared" si="3"/>
        <v>51231659.03555271</v>
      </c>
      <c r="AJ56" s="435">
        <f t="shared" si="4"/>
        <v>14986572.062014425</v>
      </c>
      <c r="AK56" s="35"/>
      <c r="AL56" s="424">
        <f t="shared" si="1"/>
        <v>377552.98930769047</v>
      </c>
      <c r="AM56" s="382">
        <f t="shared" si="2"/>
        <v>354327.85405734886</v>
      </c>
      <c r="AN56" s="56"/>
      <c r="AO56" s="160"/>
    </row>
    <row r="57" spans="2:41" ht="15">
      <c r="B57" s="159"/>
      <c r="C57" s="654" t="s">
        <v>459</v>
      </c>
      <c r="D57" s="655" t="s">
        <v>459</v>
      </c>
      <c r="E57" s="655" t="s">
        <v>459</v>
      </c>
      <c r="F57" s="348"/>
      <c r="G57" s="349"/>
      <c r="H57" s="364"/>
      <c r="I57" s="342"/>
      <c r="J57" s="56"/>
      <c r="K57" s="56"/>
      <c r="L57" s="56"/>
      <c r="M57" s="56"/>
      <c r="N57" s="56"/>
      <c r="O57" s="56"/>
      <c r="P57" s="189" t="s">
        <v>510</v>
      </c>
      <c r="Q57" s="30"/>
      <c r="R57" s="30"/>
      <c r="S57" s="30"/>
      <c r="T57" s="30"/>
      <c r="U57" s="30"/>
      <c r="V57" s="185">
        <v>6250</v>
      </c>
      <c r="W57" s="160"/>
      <c r="AB57" s="159"/>
      <c r="AC57" s="56"/>
      <c r="AD57" s="56"/>
      <c r="AE57" s="56"/>
      <c r="AF57" s="56"/>
      <c r="AG57" s="35">
        <v>52</v>
      </c>
      <c r="AH57" s="382">
        <f t="shared" si="0"/>
        <v>731880.8433650393</v>
      </c>
      <c r="AI57" s="382">
        <f t="shared" si="3"/>
        <v>50499778.192187674</v>
      </c>
      <c r="AJ57" s="435">
        <f t="shared" si="4"/>
        <v>14609019.072706735</v>
      </c>
      <c r="AK57" s="35"/>
      <c r="AL57" s="424">
        <f t="shared" si="1"/>
        <v>373862.07416125975</v>
      </c>
      <c r="AM57" s="382">
        <f t="shared" si="2"/>
        <v>358018.7692037796</v>
      </c>
      <c r="AN57" s="56"/>
      <c r="AO57" s="160"/>
    </row>
    <row r="58" spans="2:41" ht="15">
      <c r="B58" s="159"/>
      <c r="C58" s="654" t="s">
        <v>460</v>
      </c>
      <c r="D58" s="655" t="s">
        <v>460</v>
      </c>
      <c r="E58" s="655" t="s">
        <v>460</v>
      </c>
      <c r="F58" s="348">
        <v>20000</v>
      </c>
      <c r="G58" s="349">
        <v>16000</v>
      </c>
      <c r="H58" s="364">
        <f t="shared" si="13"/>
        <v>4000</v>
      </c>
      <c r="I58" s="342"/>
      <c r="J58" s="56"/>
      <c r="K58" s="56"/>
      <c r="L58" s="56"/>
      <c r="M58" s="56"/>
      <c r="N58" s="56"/>
      <c r="O58" s="56"/>
      <c r="P58" s="192"/>
      <c r="Q58" s="50"/>
      <c r="R58" s="50"/>
      <c r="S58" s="50"/>
      <c r="T58" s="50"/>
      <c r="U58" s="50"/>
      <c r="V58" s="185">
        <f>SUM(V55:V57)</f>
        <v>10000</v>
      </c>
      <c r="W58" s="160"/>
      <c r="AB58" s="159"/>
      <c r="AC58" s="56"/>
      <c r="AD58" s="56"/>
      <c r="AE58" s="56"/>
      <c r="AF58" s="56"/>
      <c r="AG58" s="35">
        <v>53</v>
      </c>
      <c r="AH58" s="382">
        <f t="shared" si="0"/>
        <v>731880.8433650393</v>
      </c>
      <c r="AI58" s="382">
        <f t="shared" si="3"/>
        <v>49767897.34882264</v>
      </c>
      <c r="AJ58" s="435">
        <f t="shared" si="4"/>
        <v>14235156.998545475</v>
      </c>
      <c r="AK58" s="35"/>
      <c r="AL58" s="424">
        <f t="shared" si="1"/>
        <v>370132.71198205376</v>
      </c>
      <c r="AM58" s="382">
        <f t="shared" si="2"/>
        <v>361748.13138298556</v>
      </c>
      <c r="AN58" s="56"/>
      <c r="AO58" s="160"/>
    </row>
    <row r="59" spans="2:41" ht="15">
      <c r="B59" s="159"/>
      <c r="C59" s="654" t="s">
        <v>232</v>
      </c>
      <c r="D59" s="655" t="s">
        <v>232</v>
      </c>
      <c r="E59" s="655" t="s">
        <v>232</v>
      </c>
      <c r="F59" s="350">
        <v>17500</v>
      </c>
      <c r="G59" s="351">
        <v>14000</v>
      </c>
      <c r="H59" s="364">
        <f t="shared" si="13"/>
        <v>3500</v>
      </c>
      <c r="I59" s="342"/>
      <c r="J59" s="56"/>
      <c r="K59" s="56"/>
      <c r="L59" s="56"/>
      <c r="M59" s="56"/>
      <c r="N59" s="56"/>
      <c r="O59" s="56"/>
      <c r="P59" s="368" t="s">
        <v>511</v>
      </c>
      <c r="Q59" s="182"/>
      <c r="R59" s="182"/>
      <c r="S59" s="182"/>
      <c r="T59" s="182"/>
      <c r="U59" s="182"/>
      <c r="V59" s="183"/>
      <c r="W59" s="160"/>
      <c r="AB59" s="159"/>
      <c r="AC59" s="56"/>
      <c r="AD59" s="56"/>
      <c r="AE59" s="56"/>
      <c r="AF59" s="56"/>
      <c r="AG59" s="35">
        <v>54</v>
      </c>
      <c r="AH59" s="382">
        <f t="shared" si="0"/>
        <v>731880.8433650393</v>
      </c>
      <c r="AI59" s="382">
        <f t="shared" si="3"/>
        <v>49036016.5054576</v>
      </c>
      <c r="AJ59" s="435">
        <f t="shared" si="4"/>
        <v>13865024.28656342</v>
      </c>
      <c r="AK59" s="35"/>
      <c r="AL59" s="424">
        <f t="shared" si="1"/>
        <v>366364.50228014775</v>
      </c>
      <c r="AM59" s="382">
        <f t="shared" si="2"/>
        <v>365516.3410848916</v>
      </c>
      <c r="AN59" s="56"/>
      <c r="AO59" s="160"/>
    </row>
    <row r="60" spans="2:41" ht="15">
      <c r="B60" s="159"/>
      <c r="C60" s="654" t="s">
        <v>461</v>
      </c>
      <c r="D60" s="655" t="s">
        <v>461</v>
      </c>
      <c r="E60" s="655" t="s">
        <v>461</v>
      </c>
      <c r="F60" s="352">
        <v>37500</v>
      </c>
      <c r="G60" s="353">
        <v>30000</v>
      </c>
      <c r="H60" s="364"/>
      <c r="I60" s="343"/>
      <c r="J60" s="56"/>
      <c r="K60" s="56"/>
      <c r="L60" s="56"/>
      <c r="M60" s="56"/>
      <c r="N60" s="56"/>
      <c r="O60" s="56"/>
      <c r="P60" s="189" t="str">
        <f>J48</f>
        <v>سود ویژه</v>
      </c>
      <c r="Q60" s="30"/>
      <c r="R60" s="30"/>
      <c r="S60" s="30"/>
      <c r="T60" s="30"/>
      <c r="U60" s="30"/>
      <c r="V60" s="184">
        <f>N48</f>
        <v>6450</v>
      </c>
      <c r="W60" s="160"/>
      <c r="AB60" s="159"/>
      <c r="AC60" s="56"/>
      <c r="AD60" s="56"/>
      <c r="AE60" s="56"/>
      <c r="AF60" s="56"/>
      <c r="AG60" s="35">
        <v>55</v>
      </c>
      <c r="AH60" s="382">
        <f t="shared" si="0"/>
        <v>731880.8433650393</v>
      </c>
      <c r="AI60" s="382">
        <f t="shared" si="3"/>
        <v>48304135.66209257</v>
      </c>
      <c r="AJ60" s="435">
        <f t="shared" si="4"/>
        <v>13498659.784283273</v>
      </c>
      <c r="AK60" s="35"/>
      <c r="AL60" s="424">
        <f t="shared" si="1"/>
        <v>362557.0403938468</v>
      </c>
      <c r="AM60" s="382">
        <f t="shared" si="2"/>
        <v>369323.8029711925</v>
      </c>
      <c r="AN60" s="56"/>
      <c r="AO60" s="160"/>
    </row>
    <row r="61" spans="2:41" ht="15">
      <c r="B61" s="159"/>
      <c r="C61" s="654" t="s">
        <v>143</v>
      </c>
      <c r="D61" s="655" t="s">
        <v>143</v>
      </c>
      <c r="E61" s="655" t="s">
        <v>143</v>
      </c>
      <c r="F61" s="350">
        <v>6950</v>
      </c>
      <c r="G61" s="351">
        <v>3750</v>
      </c>
      <c r="H61" s="364">
        <f t="shared" si="13"/>
        <v>3200</v>
      </c>
      <c r="I61" s="342"/>
      <c r="J61" s="56"/>
      <c r="K61" s="56"/>
      <c r="L61" s="56"/>
      <c r="M61" s="56"/>
      <c r="N61" s="56"/>
      <c r="O61" s="56"/>
      <c r="P61" s="189" t="s">
        <v>512</v>
      </c>
      <c r="Q61" s="30"/>
      <c r="R61" s="30"/>
      <c r="S61" s="30"/>
      <c r="T61" s="30"/>
      <c r="U61" s="30"/>
      <c r="V61" s="184"/>
      <c r="W61" s="160"/>
      <c r="AB61" s="159"/>
      <c r="AC61" s="56"/>
      <c r="AD61" s="56"/>
      <c r="AE61" s="56"/>
      <c r="AF61" s="56"/>
      <c r="AG61" s="35">
        <v>56</v>
      </c>
      <c r="AH61" s="382">
        <f t="shared" si="0"/>
        <v>731880.8433650393</v>
      </c>
      <c r="AI61" s="382">
        <f t="shared" si="3"/>
        <v>47572254.81872753</v>
      </c>
      <c r="AJ61" s="435">
        <f t="shared" si="4"/>
        <v>13136102.743889427</v>
      </c>
      <c r="AK61" s="35"/>
      <c r="AL61" s="424">
        <f t="shared" si="1"/>
        <v>358709.9174462302</v>
      </c>
      <c r="AM61" s="382">
        <f t="shared" si="2"/>
        <v>373170.92591880914</v>
      </c>
      <c r="AN61" s="56"/>
      <c r="AO61" s="160"/>
    </row>
    <row r="62" spans="2:41" ht="14.25">
      <c r="B62" s="159"/>
      <c r="C62" s="654" t="s">
        <v>462</v>
      </c>
      <c r="D62" s="655" t="s">
        <v>462</v>
      </c>
      <c r="E62" s="655" t="s">
        <v>462</v>
      </c>
      <c r="F62" s="354">
        <v>44450</v>
      </c>
      <c r="G62" s="355">
        <v>33750</v>
      </c>
      <c r="H62" s="365"/>
      <c r="I62" s="343"/>
      <c r="J62" s="56"/>
      <c r="K62" s="56"/>
      <c r="L62" s="56"/>
      <c r="M62" s="56"/>
      <c r="N62" s="56"/>
      <c r="O62" s="56"/>
      <c r="P62" s="189" t="str">
        <f>J40</f>
        <v>هزینه استهلاک</v>
      </c>
      <c r="Q62" s="30"/>
      <c r="R62" s="30"/>
      <c r="S62" s="30"/>
      <c r="T62" s="30">
        <f>M40</f>
        <v>2300</v>
      </c>
      <c r="U62" s="30"/>
      <c r="V62" s="184"/>
      <c r="W62" s="160"/>
      <c r="AB62" s="159"/>
      <c r="AC62" s="56"/>
      <c r="AD62" s="56"/>
      <c r="AE62" s="56"/>
      <c r="AF62" s="56"/>
      <c r="AG62" s="35">
        <v>57</v>
      </c>
      <c r="AH62" s="382">
        <f t="shared" si="0"/>
        <v>731880.8433650393</v>
      </c>
      <c r="AI62" s="382">
        <f t="shared" si="3"/>
        <v>46840373.975362495</v>
      </c>
      <c r="AJ62" s="435">
        <f t="shared" si="4"/>
        <v>12777392.826443197</v>
      </c>
      <c r="AK62" s="35"/>
      <c r="AL62" s="424">
        <f t="shared" si="1"/>
        <v>354822.72030124266</v>
      </c>
      <c r="AM62" s="382">
        <f t="shared" si="2"/>
        <v>377058.12306379667</v>
      </c>
      <c r="AN62" s="56"/>
      <c r="AO62" s="160"/>
    </row>
    <row r="63" spans="2:41" ht="15.75" customHeight="1" thickBot="1">
      <c r="B63" s="159"/>
      <c r="C63" s="656" t="s">
        <v>463</v>
      </c>
      <c r="D63" s="657" t="s">
        <v>463</v>
      </c>
      <c r="E63" s="657" t="s">
        <v>463</v>
      </c>
      <c r="F63" s="356">
        <v>58950</v>
      </c>
      <c r="G63" s="357">
        <v>47250</v>
      </c>
      <c r="H63" s="363"/>
      <c r="I63" s="341"/>
      <c r="J63" s="56"/>
      <c r="K63" s="56"/>
      <c r="L63" s="56"/>
      <c r="M63" s="56"/>
      <c r="N63" s="56"/>
      <c r="O63" s="56"/>
      <c r="P63" s="189" t="str">
        <f>J44</f>
        <v>زیان حاصل از فروش تجهیزات </v>
      </c>
      <c r="Q63" s="30"/>
      <c r="R63" s="30"/>
      <c r="S63" s="30"/>
      <c r="T63" s="30">
        <f>M44</f>
        <v>500</v>
      </c>
      <c r="U63" s="30"/>
      <c r="V63" s="184"/>
      <c r="W63" s="160"/>
      <c r="AB63" s="159"/>
      <c r="AC63" s="56"/>
      <c r="AD63" s="56"/>
      <c r="AE63" s="56"/>
      <c r="AF63" s="56"/>
      <c r="AG63" s="35">
        <v>58</v>
      </c>
      <c r="AH63" s="382">
        <f t="shared" si="0"/>
        <v>731880.8433650393</v>
      </c>
      <c r="AI63" s="382">
        <f t="shared" si="3"/>
        <v>46108493.13199746</v>
      </c>
      <c r="AJ63" s="435">
        <f t="shared" si="4"/>
        <v>12422570.106141955</v>
      </c>
      <c r="AK63" s="35"/>
      <c r="AL63" s="424">
        <f t="shared" si="1"/>
        <v>350895.0315193281</v>
      </c>
      <c r="AM63" s="382">
        <f t="shared" si="2"/>
        <v>380985.8118457112</v>
      </c>
      <c r="AN63" s="56"/>
      <c r="AO63" s="160"/>
    </row>
    <row r="64" spans="2:41" ht="16.5" customHeight="1" thickTop="1">
      <c r="B64" s="159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189" t="str">
        <f>J45</f>
        <v>سود حاصل از فروش سرمایه گذاری ها</v>
      </c>
      <c r="Q64" s="30"/>
      <c r="R64" s="30"/>
      <c r="S64" s="30"/>
      <c r="T64" s="30">
        <f>M45*-1</f>
        <v>-500</v>
      </c>
      <c r="U64" s="30"/>
      <c r="V64" s="184"/>
      <c r="W64" s="160"/>
      <c r="AB64" s="159"/>
      <c r="AC64" s="56"/>
      <c r="AD64" s="56"/>
      <c r="AE64" s="56"/>
      <c r="AF64" s="56"/>
      <c r="AG64" s="35">
        <v>59</v>
      </c>
      <c r="AH64" s="382">
        <f t="shared" si="0"/>
        <v>731880.8433650393</v>
      </c>
      <c r="AI64" s="382">
        <f t="shared" si="3"/>
        <v>45376612.28863242</v>
      </c>
      <c r="AJ64" s="435">
        <f t="shared" si="4"/>
        <v>12071675.074622627</v>
      </c>
      <c r="AK64" s="35"/>
      <c r="AL64" s="424">
        <f t="shared" si="1"/>
        <v>346926.42931260203</v>
      </c>
      <c r="AM64" s="382">
        <f t="shared" si="2"/>
        <v>384954.4140524373</v>
      </c>
      <c r="AN64" s="56"/>
      <c r="AO64" s="160"/>
    </row>
    <row r="65" spans="2:41" ht="16.5" customHeight="1">
      <c r="B65" s="159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89" t="s">
        <v>513</v>
      </c>
      <c r="Q65" s="30"/>
      <c r="R65" s="30"/>
      <c r="S65" s="30"/>
      <c r="T65" s="30">
        <f>H37*-1</f>
        <v>-1250</v>
      </c>
      <c r="U65" s="30"/>
      <c r="V65" s="184"/>
      <c r="W65" s="160"/>
      <c r="AB65" s="159"/>
      <c r="AC65" s="56"/>
      <c r="AD65" s="56"/>
      <c r="AE65" s="56"/>
      <c r="AF65" s="56"/>
      <c r="AG65" s="35">
        <v>60</v>
      </c>
      <c r="AH65" s="382">
        <f t="shared" si="0"/>
        <v>731880.8433650393</v>
      </c>
      <c r="AI65" s="382">
        <f t="shared" si="3"/>
        <v>44644731.44526739</v>
      </c>
      <c r="AJ65" s="435">
        <f t="shared" si="4"/>
        <v>11724748.645310026</v>
      </c>
      <c r="AK65" s="35"/>
      <c r="AL65" s="424">
        <f t="shared" si="1"/>
        <v>342916.4874995558</v>
      </c>
      <c r="AM65" s="382">
        <f t="shared" si="2"/>
        <v>388964.3558654835</v>
      </c>
      <c r="AN65" s="56"/>
      <c r="AO65" s="160"/>
    </row>
    <row r="66" spans="2:41" ht="15.75" customHeight="1">
      <c r="B66" s="159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189" t="s">
        <v>514</v>
      </c>
      <c r="Q66" s="30"/>
      <c r="R66" s="30"/>
      <c r="S66" s="30"/>
      <c r="T66" s="30">
        <f>H38*-1</f>
        <v>500</v>
      </c>
      <c r="U66" s="30"/>
      <c r="V66" s="184"/>
      <c r="W66" s="160"/>
      <c r="AB66" s="159"/>
      <c r="AC66" s="56"/>
      <c r="AD66" s="56"/>
      <c r="AE66" s="56"/>
      <c r="AF66" s="56"/>
      <c r="AG66" s="35">
        <v>61</v>
      </c>
      <c r="AH66" s="382">
        <f t="shared" si="0"/>
        <v>731880.8433650393</v>
      </c>
      <c r="AI66" s="382">
        <f t="shared" si="3"/>
        <v>43912850.60190235</v>
      </c>
      <c r="AJ66" s="435">
        <f t="shared" si="4"/>
        <v>11381832.15781047</v>
      </c>
      <c r="AK66" s="35"/>
      <c r="AL66" s="424">
        <f t="shared" si="1"/>
        <v>338864.77545929037</v>
      </c>
      <c r="AM66" s="382">
        <f t="shared" si="2"/>
        <v>393016.06790574896</v>
      </c>
      <c r="AN66" s="56"/>
      <c r="AO66" s="160"/>
    </row>
    <row r="67" spans="2:41" ht="12.75">
      <c r="B67" s="159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189" t="s">
        <v>515</v>
      </c>
      <c r="Q67" s="30"/>
      <c r="R67" s="30"/>
      <c r="S67" s="30"/>
      <c r="T67" s="30">
        <f>H39*-1</f>
        <v>-250</v>
      </c>
      <c r="U67" s="30"/>
      <c r="V67" s="184"/>
      <c r="W67" s="160"/>
      <c r="AB67" s="159"/>
      <c r="AC67" s="56"/>
      <c r="AD67" s="56"/>
      <c r="AE67" s="56"/>
      <c r="AF67" s="56"/>
      <c r="AG67" s="35">
        <v>62</v>
      </c>
      <c r="AH67" s="382">
        <f t="shared" si="0"/>
        <v>731880.8433650393</v>
      </c>
      <c r="AI67" s="382">
        <f t="shared" si="3"/>
        <v>43180969.758537315</v>
      </c>
      <c r="AJ67" s="435">
        <f t="shared" si="4"/>
        <v>11042967.38235118</v>
      </c>
      <c r="AK67" s="35"/>
      <c r="AL67" s="424">
        <f t="shared" si="1"/>
        <v>334770.8580852722</v>
      </c>
      <c r="AM67" s="382">
        <f t="shared" si="2"/>
        <v>397109.98527976713</v>
      </c>
      <c r="AN67" s="56"/>
      <c r="AO67" s="160"/>
    </row>
    <row r="68" spans="2:41" ht="12.75">
      <c r="B68" s="159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189" t="s">
        <v>516</v>
      </c>
      <c r="Q68" s="30"/>
      <c r="R68" s="30"/>
      <c r="S68" s="30"/>
      <c r="T68" s="30">
        <f>H51</f>
        <v>-1000</v>
      </c>
      <c r="U68" s="30"/>
      <c r="V68" s="184"/>
      <c r="W68" s="160"/>
      <c r="AB68" s="159"/>
      <c r="AC68" s="56"/>
      <c r="AD68" s="56"/>
      <c r="AE68" s="56"/>
      <c r="AF68" s="56"/>
      <c r="AG68" s="35">
        <v>63</v>
      </c>
      <c r="AH68" s="382">
        <f t="shared" si="0"/>
        <v>731880.8433650393</v>
      </c>
      <c r="AI68" s="382">
        <f t="shared" si="3"/>
        <v>42449088.91517228</v>
      </c>
      <c r="AJ68" s="435">
        <f t="shared" si="4"/>
        <v>10708196.524265908</v>
      </c>
      <c r="AK68" s="35"/>
      <c r="AL68" s="424">
        <f t="shared" si="1"/>
        <v>330634.295738608</v>
      </c>
      <c r="AM68" s="382">
        <f t="shared" si="2"/>
        <v>401246.54762643133</v>
      </c>
      <c r="AN68" s="56"/>
      <c r="AO68" s="160"/>
    </row>
    <row r="69" spans="2:41" ht="12.75">
      <c r="B69" s="159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189" t="s">
        <v>517</v>
      </c>
      <c r="Q69" s="30"/>
      <c r="R69" s="30"/>
      <c r="S69" s="30"/>
      <c r="T69" s="30">
        <f>H52</f>
        <v>1000</v>
      </c>
      <c r="U69" s="30"/>
      <c r="V69" s="184"/>
      <c r="W69" s="160"/>
      <c r="AB69" s="159"/>
      <c r="AC69" s="56"/>
      <c r="AD69" s="56"/>
      <c r="AE69" s="56"/>
      <c r="AF69" s="56"/>
      <c r="AG69" s="35">
        <v>64</v>
      </c>
      <c r="AH69" s="382">
        <f t="shared" si="0"/>
        <v>731880.8433650393</v>
      </c>
      <c r="AI69" s="382">
        <f t="shared" si="3"/>
        <v>41717208.07180724</v>
      </c>
      <c r="AJ69" s="435">
        <f t="shared" si="4"/>
        <v>10377562.2285273</v>
      </c>
      <c r="AK69" s="35"/>
      <c r="AL69" s="424">
        <f t="shared" si="1"/>
        <v>326454.6442008327</v>
      </c>
      <c r="AM69" s="382">
        <f t="shared" si="2"/>
        <v>405426.1991642066</v>
      </c>
      <c r="AN69" s="56"/>
      <c r="AO69" s="160"/>
    </row>
    <row r="70" spans="2:41" ht="12.75">
      <c r="B70" s="159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189" t="s">
        <v>518</v>
      </c>
      <c r="Q70" s="30"/>
      <c r="R70" s="30"/>
      <c r="S70" s="30"/>
      <c r="T70" s="30">
        <f>H50</f>
        <v>-250</v>
      </c>
      <c r="U70" s="30"/>
      <c r="V70" s="184"/>
      <c r="W70" s="160"/>
      <c r="AB70" s="159"/>
      <c r="AC70" s="56"/>
      <c r="AD70" s="56"/>
      <c r="AE70" s="56"/>
      <c r="AF70" s="56"/>
      <c r="AG70" s="35">
        <v>65</v>
      </c>
      <c r="AH70" s="382">
        <f t="shared" si="0"/>
        <v>731880.8433650393</v>
      </c>
      <c r="AI70" s="382">
        <f t="shared" si="3"/>
        <v>40985327.22844221</v>
      </c>
      <c r="AJ70" s="435">
        <f t="shared" si="4"/>
        <v>10051107.584326467</v>
      </c>
      <c r="AK70" s="35"/>
      <c r="AL70" s="424">
        <f t="shared" si="1"/>
        <v>322231.4546262056</v>
      </c>
      <c r="AM70" s="382">
        <f t="shared" si="2"/>
        <v>409649.3887388337</v>
      </c>
      <c r="AN70" s="56"/>
      <c r="AO70" s="160"/>
    </row>
    <row r="71" spans="2:41" ht="12.75">
      <c r="B71" s="159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189"/>
      <c r="Q71" s="30"/>
      <c r="R71" s="30"/>
      <c r="S71" s="30"/>
      <c r="T71" s="30"/>
      <c r="U71" s="30"/>
      <c r="V71" s="184">
        <f>SUM(T62:T70)</f>
        <v>1050</v>
      </c>
      <c r="W71" s="160"/>
      <c r="AB71" s="159"/>
      <c r="AC71" s="56"/>
      <c r="AD71" s="56"/>
      <c r="AE71" s="56"/>
      <c r="AF71" s="56"/>
      <c r="AG71" s="35">
        <v>66</v>
      </c>
      <c r="AH71" s="382">
        <f aca="true" t="shared" si="14" ref="AH71:AH125">$AE$15</f>
        <v>731880.8433650393</v>
      </c>
      <c r="AI71" s="382">
        <f t="shared" si="3"/>
        <v>40253446.38507717</v>
      </c>
      <c r="AJ71" s="435">
        <f t="shared" si="4"/>
        <v>9728876.12970026</v>
      </c>
      <c r="AK71" s="35"/>
      <c r="AL71" s="424">
        <f aca="true" t="shared" si="15" ref="AL71:AL125">(AI71-AJ71)*$AK$6</f>
        <v>317964.2734935095</v>
      </c>
      <c r="AM71" s="382">
        <f aca="true" t="shared" si="16" ref="AM71:AM125">AH71-AL71</f>
        <v>413916.5698715298</v>
      </c>
      <c r="AN71" s="56"/>
      <c r="AO71" s="160"/>
    </row>
    <row r="72" spans="2:41" ht="13.5" thickBot="1">
      <c r="B72" s="159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192"/>
      <c r="Q72" s="50"/>
      <c r="R72" s="50"/>
      <c r="S72" s="50"/>
      <c r="T72" s="50"/>
      <c r="U72" s="50"/>
      <c r="V72" s="245">
        <f>V60+V71</f>
        <v>7500</v>
      </c>
      <c r="W72" s="160"/>
      <c r="AB72" s="159"/>
      <c r="AC72" s="56"/>
      <c r="AD72" s="56"/>
      <c r="AE72" s="56"/>
      <c r="AF72" s="56"/>
      <c r="AG72" s="35">
        <v>67</v>
      </c>
      <c r="AH72" s="382">
        <f t="shared" si="14"/>
        <v>731880.8433650393</v>
      </c>
      <c r="AI72" s="382">
        <f aca="true" t="shared" si="17" ref="AI72:AI124">AI71-AH72</f>
        <v>39521565.541712135</v>
      </c>
      <c r="AJ72" s="435">
        <f aca="true" t="shared" si="18" ref="AJ72:AJ125">AJ71-AL71</f>
        <v>9410911.85620675</v>
      </c>
      <c r="AK72" s="35"/>
      <c r="AL72" s="424">
        <f t="shared" si="15"/>
        <v>313652.6425573477</v>
      </c>
      <c r="AM72" s="382">
        <f t="shared" si="16"/>
        <v>418228.2008076916</v>
      </c>
      <c r="AN72" s="56"/>
      <c r="AO72" s="160"/>
    </row>
    <row r="73" spans="2:41" ht="13.5" thickTop="1">
      <c r="B73" s="159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160"/>
      <c r="AB73" s="159"/>
      <c r="AC73" s="56"/>
      <c r="AD73" s="56"/>
      <c r="AE73" s="56"/>
      <c r="AF73" s="56"/>
      <c r="AG73" s="35">
        <v>68</v>
      </c>
      <c r="AH73" s="382">
        <f t="shared" si="14"/>
        <v>731880.8433650393</v>
      </c>
      <c r="AI73" s="382">
        <f t="shared" si="17"/>
        <v>38789684.6983471</v>
      </c>
      <c r="AJ73" s="435">
        <f t="shared" si="18"/>
        <v>9097259.213649403</v>
      </c>
      <c r="AK73" s="35"/>
      <c r="AL73" s="424">
        <f t="shared" si="15"/>
        <v>309296.0987989343</v>
      </c>
      <c r="AM73" s="382">
        <f t="shared" si="16"/>
        <v>422584.744566105</v>
      </c>
      <c r="AN73" s="56"/>
      <c r="AO73" s="160"/>
    </row>
    <row r="74" spans="2:41" ht="13.5" thickBot="1">
      <c r="B74" s="17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9"/>
      <c r="AB74" s="159"/>
      <c r="AC74" s="56"/>
      <c r="AD74" s="56"/>
      <c r="AE74" s="56"/>
      <c r="AF74" s="56"/>
      <c r="AG74" s="35">
        <v>69</v>
      </c>
      <c r="AH74" s="382">
        <f t="shared" si="14"/>
        <v>731880.8433650393</v>
      </c>
      <c r="AI74" s="382">
        <f t="shared" si="17"/>
        <v>38057803.85498206</v>
      </c>
      <c r="AJ74" s="435">
        <f t="shared" si="18"/>
        <v>8787963.114850469</v>
      </c>
      <c r="AK74" s="35"/>
      <c r="AL74" s="424">
        <f t="shared" si="15"/>
        <v>304894.17437637073</v>
      </c>
      <c r="AM74" s="382">
        <f t="shared" si="16"/>
        <v>426986.6689886686</v>
      </c>
      <c r="AN74" s="56"/>
      <c r="AO74" s="160"/>
    </row>
    <row r="75" spans="28:41" ht="12.75">
      <c r="AB75" s="159"/>
      <c r="AC75" s="56"/>
      <c r="AD75" s="56"/>
      <c r="AE75" s="56"/>
      <c r="AF75" s="56"/>
      <c r="AG75" s="35">
        <v>70</v>
      </c>
      <c r="AH75" s="382">
        <f t="shared" si="14"/>
        <v>731880.8433650393</v>
      </c>
      <c r="AI75" s="382">
        <f t="shared" si="17"/>
        <v>37325923.01161703</v>
      </c>
      <c r="AJ75" s="435">
        <f t="shared" si="18"/>
        <v>8483068.940474099</v>
      </c>
      <c r="AK75" s="35"/>
      <c r="AL75" s="424">
        <f t="shared" si="15"/>
        <v>300446.3965744055</v>
      </c>
      <c r="AM75" s="382">
        <f t="shared" si="16"/>
        <v>431434.44679063384</v>
      </c>
      <c r="AN75" s="56"/>
      <c r="AO75" s="160"/>
    </row>
    <row r="76" spans="28:41" ht="12.75">
      <c r="AB76" s="159"/>
      <c r="AC76" s="56"/>
      <c r="AD76" s="56"/>
      <c r="AE76" s="56"/>
      <c r="AF76" s="56"/>
      <c r="AG76" s="35">
        <v>71</v>
      </c>
      <c r="AH76" s="382">
        <f t="shared" si="14"/>
        <v>731880.8433650393</v>
      </c>
      <c r="AI76" s="382">
        <f t="shared" si="17"/>
        <v>36594042.16825199</v>
      </c>
      <c r="AJ76" s="435">
        <f t="shared" si="18"/>
        <v>8182622.543899693</v>
      </c>
      <c r="AK76" s="35"/>
      <c r="AL76" s="424">
        <f t="shared" si="15"/>
        <v>295952.2877536698</v>
      </c>
      <c r="AM76" s="382">
        <f t="shared" si="16"/>
        <v>435928.55561136955</v>
      </c>
      <c r="AN76" s="56"/>
      <c r="AO76" s="160"/>
    </row>
    <row r="77" spans="28:41" ht="12.75">
      <c r="AB77" s="159"/>
      <c r="AC77" s="56"/>
      <c r="AD77" s="56"/>
      <c r="AE77" s="56"/>
      <c r="AF77" s="56"/>
      <c r="AG77" s="35">
        <v>72</v>
      </c>
      <c r="AH77" s="382">
        <f t="shared" si="14"/>
        <v>731880.8433650393</v>
      </c>
      <c r="AI77" s="382">
        <f t="shared" si="17"/>
        <v>35862161.324886955</v>
      </c>
      <c r="AJ77" s="435">
        <f t="shared" si="18"/>
        <v>7886670.256146023</v>
      </c>
      <c r="AK77" s="35"/>
      <c r="AL77" s="424">
        <f t="shared" si="15"/>
        <v>291411.3652993847</v>
      </c>
      <c r="AM77" s="382">
        <f t="shared" si="16"/>
        <v>440469.47806565464</v>
      </c>
      <c r="AN77" s="56"/>
      <c r="AO77" s="160"/>
    </row>
    <row r="78" spans="28:41" ht="12.75">
      <c r="AB78" s="159"/>
      <c r="AC78" s="56"/>
      <c r="AD78" s="56"/>
      <c r="AE78" s="56"/>
      <c r="AF78" s="56"/>
      <c r="AG78" s="35">
        <v>73</v>
      </c>
      <c r="AH78" s="382">
        <f t="shared" si="14"/>
        <v>731880.8433650393</v>
      </c>
      <c r="AI78" s="382">
        <f t="shared" si="17"/>
        <v>35130280.48152192</v>
      </c>
      <c r="AJ78" s="435">
        <f t="shared" si="18"/>
        <v>7595258.890846638</v>
      </c>
      <c r="AK78" s="35"/>
      <c r="AL78" s="424">
        <f t="shared" si="15"/>
        <v>286823.14156953414</v>
      </c>
      <c r="AM78" s="382">
        <f t="shared" si="16"/>
        <v>445057.7017955052</v>
      </c>
      <c r="AN78" s="56"/>
      <c r="AO78" s="160"/>
    </row>
    <row r="79" spans="28:41" ht="12.75">
      <c r="AB79" s="159"/>
      <c r="AC79" s="56"/>
      <c r="AD79" s="56"/>
      <c r="AE79" s="56"/>
      <c r="AF79" s="56"/>
      <c r="AG79" s="35">
        <v>74</v>
      </c>
      <c r="AH79" s="382">
        <f t="shared" si="14"/>
        <v>731880.8433650393</v>
      </c>
      <c r="AI79" s="382">
        <f t="shared" si="17"/>
        <v>34398399.63815688</v>
      </c>
      <c r="AJ79" s="435">
        <f t="shared" si="18"/>
        <v>7308435.749277104</v>
      </c>
      <c r="AK79" s="35"/>
      <c r="AL79" s="424">
        <f t="shared" si="15"/>
        <v>282187.1238424977</v>
      </c>
      <c r="AM79" s="382">
        <f t="shared" si="16"/>
        <v>449693.7195225416</v>
      </c>
      <c r="AN79" s="56"/>
      <c r="AO79" s="160"/>
    </row>
    <row r="80" spans="28:41" ht="12.75">
      <c r="AB80" s="159"/>
      <c r="AC80" s="56"/>
      <c r="AD80" s="56"/>
      <c r="AE80" s="56"/>
      <c r="AF80" s="56"/>
      <c r="AG80" s="35">
        <v>75</v>
      </c>
      <c r="AH80" s="382">
        <f t="shared" si="14"/>
        <v>731880.8433650393</v>
      </c>
      <c r="AI80" s="382">
        <f t="shared" si="17"/>
        <v>33666518.79479185</v>
      </c>
      <c r="AJ80" s="435">
        <f t="shared" si="18"/>
        <v>7026248.625434606</v>
      </c>
      <c r="AK80" s="35"/>
      <c r="AL80" s="424">
        <f t="shared" si="15"/>
        <v>277502.8142641379</v>
      </c>
      <c r="AM80" s="382">
        <f t="shared" si="16"/>
        <v>454378.02910090145</v>
      </c>
      <c r="AN80" s="56"/>
      <c r="AO80" s="160"/>
    </row>
    <row r="81" spans="28:41" ht="12.75">
      <c r="AB81" s="159"/>
      <c r="AC81" s="56"/>
      <c r="AD81" s="56"/>
      <c r="AE81" s="56"/>
      <c r="AF81" s="56"/>
      <c r="AG81" s="35">
        <v>76</v>
      </c>
      <c r="AH81" s="382">
        <f t="shared" si="14"/>
        <v>731880.8433650393</v>
      </c>
      <c r="AI81" s="382">
        <f t="shared" si="17"/>
        <v>32934637.951426808</v>
      </c>
      <c r="AJ81" s="435">
        <f t="shared" si="18"/>
        <v>6748745.811170468</v>
      </c>
      <c r="AK81" s="35"/>
      <c r="AL81" s="424">
        <f t="shared" si="15"/>
        <v>272769.7097943368</v>
      </c>
      <c r="AM81" s="382">
        <f t="shared" si="16"/>
        <v>459111.1335707025</v>
      </c>
      <c r="AN81" s="56"/>
      <c r="AO81" s="160"/>
    </row>
    <row r="82" spans="28:41" ht="12.75">
      <c r="AB82" s="159"/>
      <c r="AC82" s="56"/>
      <c r="AD82" s="56"/>
      <c r="AE82" s="56"/>
      <c r="AF82" s="56"/>
      <c r="AG82" s="35">
        <v>77</v>
      </c>
      <c r="AH82" s="382">
        <f t="shared" si="14"/>
        <v>731880.8433650393</v>
      </c>
      <c r="AI82" s="382">
        <f t="shared" si="17"/>
        <v>32202757.108061768</v>
      </c>
      <c r="AJ82" s="435">
        <f t="shared" si="18"/>
        <v>6475976.101376131</v>
      </c>
      <c r="AK82" s="35"/>
      <c r="AL82" s="424">
        <f t="shared" si="15"/>
        <v>267987.30215297535</v>
      </c>
      <c r="AM82" s="382">
        <f t="shared" si="16"/>
        <v>463893.541212064</v>
      </c>
      <c r="AN82" s="56"/>
      <c r="AO82" s="160"/>
    </row>
    <row r="83" spans="28:41" ht="12.75">
      <c r="AB83" s="159"/>
      <c r="AC83" s="56"/>
      <c r="AD83" s="56"/>
      <c r="AE83" s="56"/>
      <c r="AF83" s="56"/>
      <c r="AG83" s="35">
        <v>78</v>
      </c>
      <c r="AH83" s="382">
        <f t="shared" si="14"/>
        <v>731880.8433650393</v>
      </c>
      <c r="AI83" s="382">
        <f t="shared" si="17"/>
        <v>31470876.26469673</v>
      </c>
      <c r="AJ83" s="435">
        <f t="shared" si="18"/>
        <v>6207988.799223156</v>
      </c>
      <c r="AK83" s="35"/>
      <c r="AL83" s="424">
        <f t="shared" si="15"/>
        <v>263155.0777653497</v>
      </c>
      <c r="AM83" s="382">
        <f t="shared" si="16"/>
        <v>468725.7655996896</v>
      </c>
      <c r="AN83" s="56"/>
      <c r="AO83" s="160"/>
    </row>
    <row r="84" spans="28:41" ht="12.75">
      <c r="AB84" s="159"/>
      <c r="AC84" s="56"/>
      <c r="AD84" s="56"/>
      <c r="AE84" s="56"/>
      <c r="AF84" s="56"/>
      <c r="AG84" s="35">
        <v>79</v>
      </c>
      <c r="AH84" s="382">
        <f t="shared" si="14"/>
        <v>731880.8433650393</v>
      </c>
      <c r="AI84" s="382">
        <f t="shared" si="17"/>
        <v>30738995.42133169</v>
      </c>
      <c r="AJ84" s="435">
        <f t="shared" si="18"/>
        <v>5944833.721457806</v>
      </c>
      <c r="AK84" s="35"/>
      <c r="AL84" s="424">
        <f t="shared" si="15"/>
        <v>258272.5177070196</v>
      </c>
      <c r="AM84" s="382">
        <f t="shared" si="16"/>
        <v>473608.32565801975</v>
      </c>
      <c r="AN84" s="56"/>
      <c r="AO84" s="160"/>
    </row>
    <row r="85" spans="28:41" ht="12.75">
      <c r="AB85" s="159"/>
      <c r="AC85" s="56"/>
      <c r="AD85" s="56"/>
      <c r="AE85" s="56"/>
      <c r="AF85" s="56"/>
      <c r="AG85" s="35">
        <v>80</v>
      </c>
      <c r="AH85" s="382">
        <f t="shared" si="14"/>
        <v>731880.8433650393</v>
      </c>
      <c r="AI85" s="382">
        <f t="shared" si="17"/>
        <v>30007114.57796665</v>
      </c>
      <c r="AJ85" s="435">
        <f t="shared" si="18"/>
        <v>5686561.203750786</v>
      </c>
      <c r="AK85" s="35"/>
      <c r="AL85" s="424">
        <f t="shared" si="15"/>
        <v>253339.0976480819</v>
      </c>
      <c r="AM85" s="382">
        <f t="shared" si="16"/>
        <v>478541.74571695743</v>
      </c>
      <c r="AN85" s="56"/>
      <c r="AO85" s="160"/>
    </row>
    <row r="86" spans="28:41" ht="12.75">
      <c r="AB86" s="159"/>
      <c r="AC86" s="56"/>
      <c r="AD86" s="56"/>
      <c r="AE86" s="56"/>
      <c r="AF86" s="56"/>
      <c r="AG86" s="35">
        <v>81</v>
      </c>
      <c r="AH86" s="382">
        <f t="shared" si="14"/>
        <v>731880.8433650393</v>
      </c>
      <c r="AI86" s="382">
        <f t="shared" si="17"/>
        <v>29275233.73460161</v>
      </c>
      <c r="AJ86" s="435">
        <f t="shared" si="18"/>
        <v>5433222.106102704</v>
      </c>
      <c r="AK86" s="35"/>
      <c r="AL86" s="424">
        <f t="shared" si="15"/>
        <v>248354.2877968636</v>
      </c>
      <c r="AM86" s="382">
        <f t="shared" si="16"/>
        <v>483526.55556817574</v>
      </c>
      <c r="AN86" s="56"/>
      <c r="AO86" s="160"/>
    </row>
    <row r="87" spans="28:41" ht="12.75">
      <c r="AB87" s="159"/>
      <c r="AC87" s="56"/>
      <c r="AD87" s="56"/>
      <c r="AE87" s="56"/>
      <c r="AF87" s="56"/>
      <c r="AG87" s="35">
        <v>82</v>
      </c>
      <c r="AH87" s="382">
        <f t="shared" si="14"/>
        <v>731880.8433650393</v>
      </c>
      <c r="AI87" s="382">
        <f t="shared" si="17"/>
        <v>28543352.89123657</v>
      </c>
      <c r="AJ87" s="435">
        <f t="shared" si="18"/>
        <v>5184867.818305841</v>
      </c>
      <c r="AK87" s="35"/>
      <c r="AL87" s="424">
        <f t="shared" si="15"/>
        <v>243317.55284302845</v>
      </c>
      <c r="AM87" s="382">
        <f t="shared" si="16"/>
        <v>488563.2905220109</v>
      </c>
      <c r="AN87" s="56"/>
      <c r="AO87" s="160"/>
    </row>
    <row r="88" spans="28:41" ht="12.75">
      <c r="AB88" s="159"/>
      <c r="AC88" s="56"/>
      <c r="AD88" s="56"/>
      <c r="AE88" s="56"/>
      <c r="AF88" s="56"/>
      <c r="AG88" s="35">
        <v>83</v>
      </c>
      <c r="AH88" s="382">
        <f t="shared" si="14"/>
        <v>731880.8433650393</v>
      </c>
      <c r="AI88" s="382">
        <f t="shared" si="17"/>
        <v>27811472.04787153</v>
      </c>
      <c r="AJ88" s="435">
        <f t="shared" si="18"/>
        <v>4941550.265462812</v>
      </c>
      <c r="AK88" s="35"/>
      <c r="AL88" s="424">
        <f t="shared" si="15"/>
        <v>238228.3519000908</v>
      </c>
      <c r="AM88" s="382">
        <f t="shared" si="16"/>
        <v>493652.4914649485</v>
      </c>
      <c r="AN88" s="56"/>
      <c r="AO88" s="160"/>
    </row>
    <row r="89" spans="28:41" ht="12.75">
      <c r="AB89" s="159"/>
      <c r="AC89" s="56"/>
      <c r="AD89" s="56"/>
      <c r="AE89" s="56"/>
      <c r="AF89" s="56"/>
      <c r="AG89" s="35">
        <v>84</v>
      </c>
      <c r="AH89" s="382">
        <f t="shared" si="14"/>
        <v>731880.8433650393</v>
      </c>
      <c r="AI89" s="382">
        <f t="shared" si="17"/>
        <v>27079591.20450649</v>
      </c>
      <c r="AJ89" s="435">
        <f t="shared" si="18"/>
        <v>4703321.913562722</v>
      </c>
      <c r="AK89" s="35"/>
      <c r="AL89" s="424">
        <f t="shared" si="15"/>
        <v>233086.13844733092</v>
      </c>
      <c r="AM89" s="382">
        <f t="shared" si="16"/>
        <v>498794.7049177084</v>
      </c>
      <c r="AN89" s="56"/>
      <c r="AO89" s="160"/>
    </row>
    <row r="90" spans="28:41" ht="12.75">
      <c r="AB90" s="159"/>
      <c r="AC90" s="56"/>
      <c r="AD90" s="56"/>
      <c r="AE90" s="56"/>
      <c r="AF90" s="56"/>
      <c r="AG90" s="35">
        <v>85</v>
      </c>
      <c r="AH90" s="382">
        <f t="shared" si="14"/>
        <v>731880.8433650393</v>
      </c>
      <c r="AI90" s="382">
        <f t="shared" si="17"/>
        <v>26347710.36114145</v>
      </c>
      <c r="AJ90" s="435">
        <f t="shared" si="18"/>
        <v>4470235.77511539</v>
      </c>
      <c r="AK90" s="35"/>
      <c r="AL90" s="424">
        <f t="shared" si="15"/>
        <v>227890.3602711048</v>
      </c>
      <c r="AM90" s="382">
        <f t="shared" si="16"/>
        <v>503990.48309393454</v>
      </c>
      <c r="AN90" s="56"/>
      <c r="AO90" s="160"/>
    </row>
    <row r="91" spans="28:41" ht="12.75">
      <c r="AB91" s="159"/>
      <c r="AC91" s="56"/>
      <c r="AD91" s="56"/>
      <c r="AE91" s="56"/>
      <c r="AF91" s="56"/>
      <c r="AG91" s="35">
        <v>86</v>
      </c>
      <c r="AH91" s="382">
        <f t="shared" si="14"/>
        <v>731880.8433650393</v>
      </c>
      <c r="AI91" s="382">
        <f t="shared" si="17"/>
        <v>25615829.51777641</v>
      </c>
      <c r="AJ91" s="435">
        <f t="shared" si="18"/>
        <v>4242345.414844286</v>
      </c>
      <c r="AK91" s="35"/>
      <c r="AL91" s="424">
        <f t="shared" si="15"/>
        <v>222640.45940554296</v>
      </c>
      <c r="AM91" s="382">
        <f t="shared" si="16"/>
        <v>509240.3839594964</v>
      </c>
      <c r="AN91" s="56"/>
      <c r="AO91" s="160"/>
    </row>
    <row r="92" spans="28:41" ht="12.75">
      <c r="AB92" s="159"/>
      <c r="AC92" s="56"/>
      <c r="AD92" s="56"/>
      <c r="AE92" s="56"/>
      <c r="AF92" s="56"/>
      <c r="AG92" s="35">
        <v>87</v>
      </c>
      <c r="AH92" s="382">
        <f t="shared" si="14"/>
        <v>731880.8433650393</v>
      </c>
      <c r="AI92" s="382">
        <f t="shared" si="17"/>
        <v>24883948.67441137</v>
      </c>
      <c r="AJ92" s="435">
        <f t="shared" si="18"/>
        <v>4019704.955438743</v>
      </c>
      <c r="AK92" s="35"/>
      <c r="AL92" s="424">
        <f t="shared" si="15"/>
        <v>217335.87207263152</v>
      </c>
      <c r="AM92" s="382">
        <f t="shared" si="16"/>
        <v>514544.97129240783</v>
      </c>
      <c r="AN92" s="56"/>
      <c r="AO92" s="160"/>
    </row>
    <row r="93" spans="28:41" ht="12.75">
      <c r="AB93" s="159"/>
      <c r="AC93" s="56"/>
      <c r="AD93" s="56"/>
      <c r="AE93" s="56"/>
      <c r="AF93" s="56"/>
      <c r="AG93" s="35">
        <v>88</v>
      </c>
      <c r="AH93" s="382">
        <f t="shared" si="14"/>
        <v>731880.8433650393</v>
      </c>
      <c r="AI93" s="382">
        <f t="shared" si="17"/>
        <v>24152067.83104633</v>
      </c>
      <c r="AJ93" s="435">
        <f t="shared" si="18"/>
        <v>3802369.0833661114</v>
      </c>
      <c r="AK93" s="35"/>
      <c r="AL93" s="424">
        <f t="shared" si="15"/>
        <v>211976.02862166896</v>
      </c>
      <c r="AM93" s="382">
        <f t="shared" si="16"/>
        <v>519904.8147433704</v>
      </c>
      <c r="AN93" s="56"/>
      <c r="AO93" s="160"/>
    </row>
    <row r="94" spans="28:41" ht="12.75">
      <c r="AB94" s="159"/>
      <c r="AC94" s="56"/>
      <c r="AD94" s="56"/>
      <c r="AE94" s="56"/>
      <c r="AF94" s="56"/>
      <c r="AG94" s="35">
        <v>89</v>
      </c>
      <c r="AH94" s="382">
        <f t="shared" si="14"/>
        <v>731880.8433650393</v>
      </c>
      <c r="AI94" s="382">
        <f t="shared" si="17"/>
        <v>23420186.987681292</v>
      </c>
      <c r="AJ94" s="435">
        <f t="shared" si="18"/>
        <v>3590393.0547444425</v>
      </c>
      <c r="AK94" s="35"/>
      <c r="AL94" s="424">
        <f t="shared" si="15"/>
        <v>206560.3534680922</v>
      </c>
      <c r="AM94" s="382">
        <f t="shared" si="16"/>
        <v>525320.4898969472</v>
      </c>
      <c r="AN94" s="56"/>
      <c r="AO94" s="160"/>
    </row>
    <row r="95" spans="28:41" ht="12.75">
      <c r="AB95" s="159"/>
      <c r="AC95" s="56"/>
      <c r="AD95" s="56"/>
      <c r="AE95" s="56"/>
      <c r="AF95" s="56"/>
      <c r="AG95" s="35">
        <v>90</v>
      </c>
      <c r="AH95" s="382">
        <f t="shared" si="14"/>
        <v>731880.8433650393</v>
      </c>
      <c r="AI95" s="382">
        <f t="shared" si="17"/>
        <v>22688306.144316252</v>
      </c>
      <c r="AJ95" s="435">
        <f t="shared" si="18"/>
        <v>3383832.7012763503</v>
      </c>
      <c r="AK95" s="35"/>
      <c r="AL95" s="424">
        <f t="shared" si="15"/>
        <v>201088.26503166562</v>
      </c>
      <c r="AM95" s="382">
        <f t="shared" si="16"/>
        <v>530792.5783333736</v>
      </c>
      <c r="AN95" s="56"/>
      <c r="AO95" s="160"/>
    </row>
    <row r="96" spans="28:41" ht="12.75">
      <c r="AB96" s="159"/>
      <c r="AC96" s="56"/>
      <c r="AD96" s="56"/>
      <c r="AE96" s="56"/>
      <c r="AF96" s="56"/>
      <c r="AG96" s="35">
        <v>91</v>
      </c>
      <c r="AH96" s="382">
        <f t="shared" si="14"/>
        <v>731880.8433650393</v>
      </c>
      <c r="AI96" s="382">
        <f t="shared" si="17"/>
        <v>21956425.300951213</v>
      </c>
      <c r="AJ96" s="435">
        <f t="shared" si="18"/>
        <v>3182744.4362446847</v>
      </c>
      <c r="AK96" s="35"/>
      <c r="AL96" s="424">
        <f t="shared" si="15"/>
        <v>195559.1756740263</v>
      </c>
      <c r="AM96" s="382">
        <f t="shared" si="16"/>
        <v>536321.6676910131</v>
      </c>
      <c r="AN96" s="56"/>
      <c r="AO96" s="160"/>
    </row>
    <row r="97" spans="28:41" ht="12.75">
      <c r="AB97" s="159"/>
      <c r="AC97" s="56"/>
      <c r="AD97" s="56"/>
      <c r="AE97" s="56"/>
      <c r="AF97" s="56"/>
      <c r="AG97" s="35">
        <v>92</v>
      </c>
      <c r="AH97" s="382">
        <f t="shared" si="14"/>
        <v>731880.8433650393</v>
      </c>
      <c r="AI97" s="382">
        <f t="shared" si="17"/>
        <v>21224544.457586173</v>
      </c>
      <c r="AJ97" s="435">
        <f t="shared" si="18"/>
        <v>2987185.2605706584</v>
      </c>
      <c r="AK97" s="35"/>
      <c r="AL97" s="424">
        <f t="shared" si="15"/>
        <v>189972.49163557828</v>
      </c>
      <c r="AM97" s="382">
        <f t="shared" si="16"/>
        <v>541908.351729461</v>
      </c>
      <c r="AN97" s="56"/>
      <c r="AO97" s="160"/>
    </row>
    <row r="98" spans="28:41" ht="12.75">
      <c r="AB98" s="159"/>
      <c r="AC98" s="56"/>
      <c r="AD98" s="56"/>
      <c r="AE98" s="56"/>
      <c r="AF98" s="56"/>
      <c r="AG98" s="35">
        <v>93</v>
      </c>
      <c r="AH98" s="382">
        <f t="shared" si="14"/>
        <v>731880.8433650393</v>
      </c>
      <c r="AI98" s="382">
        <f t="shared" si="17"/>
        <v>20492663.614221133</v>
      </c>
      <c r="AJ98" s="435">
        <f t="shared" si="18"/>
        <v>2797212.76893508</v>
      </c>
      <c r="AK98" s="35"/>
      <c r="AL98" s="424">
        <f t="shared" si="15"/>
        <v>184327.61297172972</v>
      </c>
      <c r="AM98" s="382">
        <f t="shared" si="16"/>
        <v>547553.2303933096</v>
      </c>
      <c r="AN98" s="56"/>
      <c r="AO98" s="160"/>
    </row>
    <row r="99" spans="28:41" ht="12.75">
      <c r="AB99" s="159"/>
      <c r="AC99" s="56"/>
      <c r="AD99" s="56"/>
      <c r="AE99" s="56"/>
      <c r="AF99" s="56"/>
      <c r="AG99" s="35">
        <v>94</v>
      </c>
      <c r="AH99" s="382">
        <f t="shared" si="14"/>
        <v>731880.8433650393</v>
      </c>
      <c r="AI99" s="382">
        <f t="shared" si="17"/>
        <v>19760782.770856094</v>
      </c>
      <c r="AJ99" s="435">
        <f t="shared" si="18"/>
        <v>2612885.1559633506</v>
      </c>
      <c r="AK99" s="35"/>
      <c r="AL99" s="424">
        <f t="shared" si="15"/>
        <v>178623.93348846608</v>
      </c>
      <c r="AM99" s="382">
        <f t="shared" si="16"/>
        <v>553256.9098765732</v>
      </c>
      <c r="AN99" s="56"/>
      <c r="AO99" s="160"/>
    </row>
    <row r="100" spans="28:41" ht="12.75">
      <c r="AB100" s="159"/>
      <c r="AC100" s="56"/>
      <c r="AD100" s="56"/>
      <c r="AE100" s="56"/>
      <c r="AF100" s="56"/>
      <c r="AG100" s="35">
        <v>95</v>
      </c>
      <c r="AH100" s="382">
        <f t="shared" si="14"/>
        <v>731880.8433650393</v>
      </c>
      <c r="AI100" s="382">
        <f t="shared" si="17"/>
        <v>19028901.927491054</v>
      </c>
      <c r="AJ100" s="435">
        <f t="shared" si="18"/>
        <v>2434261.2224748842</v>
      </c>
      <c r="AK100" s="35"/>
      <c r="AL100" s="424">
        <f t="shared" si="15"/>
        <v>172860.84067725175</v>
      </c>
      <c r="AM100" s="382">
        <f t="shared" si="16"/>
        <v>559020.0026877876</v>
      </c>
      <c r="AN100" s="56"/>
      <c r="AO100" s="160"/>
    </row>
    <row r="101" spans="28:41" ht="12.75">
      <c r="AB101" s="159"/>
      <c r="AC101" s="56"/>
      <c r="AD101" s="56"/>
      <c r="AE101" s="56"/>
      <c r="AF101" s="56"/>
      <c r="AG101" s="35">
        <v>96</v>
      </c>
      <c r="AH101" s="382">
        <f t="shared" si="14"/>
        <v>731880.8433650393</v>
      </c>
      <c r="AI101" s="382">
        <f t="shared" si="17"/>
        <v>18297021.084126014</v>
      </c>
      <c r="AJ101" s="435">
        <f t="shared" si="18"/>
        <v>2261400.3817976327</v>
      </c>
      <c r="AK101" s="35"/>
      <c r="AL101" s="424">
        <f t="shared" si="15"/>
        <v>167037.71564925398</v>
      </c>
      <c r="AM101" s="382">
        <f t="shared" si="16"/>
        <v>564843.1277157853</v>
      </c>
      <c r="AN101" s="56"/>
      <c r="AO101" s="160"/>
    </row>
    <row r="102" spans="28:41" ht="12.75">
      <c r="AB102" s="159"/>
      <c r="AC102" s="56"/>
      <c r="AD102" s="56"/>
      <c r="AE102" s="56"/>
      <c r="AF102" s="56"/>
      <c r="AG102" s="35">
        <v>97</v>
      </c>
      <c r="AH102" s="382">
        <f t="shared" si="14"/>
        <v>731880.8433650393</v>
      </c>
      <c r="AI102" s="382">
        <f t="shared" si="17"/>
        <v>17565140.240760975</v>
      </c>
      <c r="AJ102" s="435">
        <f t="shared" si="18"/>
        <v>2094362.6661483787</v>
      </c>
      <c r="AK102" s="35"/>
      <c r="AL102" s="424">
        <f t="shared" si="15"/>
        <v>161153.9330688812</v>
      </c>
      <c r="AM102" s="382">
        <f t="shared" si="16"/>
        <v>570726.9102961582</v>
      </c>
      <c r="AN102" s="56"/>
      <c r="AO102" s="160"/>
    </row>
    <row r="103" spans="28:41" ht="12.75">
      <c r="AB103" s="159"/>
      <c r="AC103" s="56"/>
      <c r="AD103" s="56"/>
      <c r="AE103" s="56"/>
      <c r="AF103" s="56"/>
      <c r="AG103" s="35">
        <v>98</v>
      </c>
      <c r="AH103" s="382">
        <f t="shared" si="14"/>
        <v>731880.8433650393</v>
      </c>
      <c r="AI103" s="382">
        <f t="shared" si="17"/>
        <v>16833259.397395935</v>
      </c>
      <c r="AJ103" s="435">
        <f t="shared" si="18"/>
        <v>1933208.7330794975</v>
      </c>
      <c r="AK103" s="35"/>
      <c r="AL103" s="424">
        <f t="shared" si="15"/>
        <v>155208.86108662956</v>
      </c>
      <c r="AM103" s="382">
        <f t="shared" si="16"/>
        <v>576671.9822784098</v>
      </c>
      <c r="AN103" s="56"/>
      <c r="AO103" s="160"/>
    </row>
    <row r="104" spans="28:41" ht="12.75">
      <c r="AB104" s="159"/>
      <c r="AC104" s="56"/>
      <c r="AD104" s="56"/>
      <c r="AE104" s="56"/>
      <c r="AF104" s="56"/>
      <c r="AG104" s="35">
        <v>99</v>
      </c>
      <c r="AH104" s="382">
        <f t="shared" si="14"/>
        <v>731880.8433650393</v>
      </c>
      <c r="AI104" s="382">
        <f t="shared" si="17"/>
        <v>16101378.554030895</v>
      </c>
      <c r="AJ104" s="435">
        <f t="shared" si="18"/>
        <v>1777999.871992868</v>
      </c>
      <c r="AK104" s="35"/>
      <c r="AL104" s="424">
        <f t="shared" si="15"/>
        <v>149201.86127122946</v>
      </c>
      <c r="AM104" s="382">
        <f t="shared" si="16"/>
        <v>582678.9820938099</v>
      </c>
      <c r="AN104" s="56"/>
      <c r="AO104" s="160"/>
    </row>
    <row r="105" spans="28:41" ht="12.75">
      <c r="AB105" s="159"/>
      <c r="AC105" s="56"/>
      <c r="AD105" s="56"/>
      <c r="AE105" s="56"/>
      <c r="AF105" s="56"/>
      <c r="AG105" s="35">
        <v>100</v>
      </c>
      <c r="AH105" s="382">
        <f t="shared" si="14"/>
        <v>731880.8433650393</v>
      </c>
      <c r="AI105" s="382">
        <f t="shared" si="17"/>
        <v>15369497.710665856</v>
      </c>
      <c r="AJ105" s="435">
        <f t="shared" si="18"/>
        <v>1628798.0107216383</v>
      </c>
      <c r="AK105" s="35"/>
      <c r="AL105" s="424">
        <f t="shared" si="15"/>
        <v>143132.28854108558</v>
      </c>
      <c r="AM105" s="382">
        <f t="shared" si="16"/>
        <v>588748.5548239538</v>
      </c>
      <c r="AN105" s="56"/>
      <c r="AO105" s="160"/>
    </row>
    <row r="106" spans="28:41" ht="12.75">
      <c r="AB106" s="159"/>
      <c r="AC106" s="56"/>
      <c r="AD106" s="56"/>
      <c r="AE106" s="56"/>
      <c r="AF106" s="56"/>
      <c r="AG106" s="35">
        <v>101</v>
      </c>
      <c r="AH106" s="382">
        <f t="shared" si="14"/>
        <v>731880.8433650393</v>
      </c>
      <c r="AI106" s="382">
        <f t="shared" si="17"/>
        <v>14637616.867300816</v>
      </c>
      <c r="AJ106" s="435">
        <f t="shared" si="18"/>
        <v>1485665.7221805528</v>
      </c>
      <c r="AK106" s="35"/>
      <c r="AL106" s="424">
        <f t="shared" si="15"/>
        <v>136999.49109500274</v>
      </c>
      <c r="AM106" s="382">
        <f t="shared" si="16"/>
        <v>594881.3522700366</v>
      </c>
      <c r="AN106" s="56"/>
      <c r="AO106" s="160"/>
    </row>
    <row r="107" spans="28:41" ht="12.75">
      <c r="AB107" s="159"/>
      <c r="AC107" s="56"/>
      <c r="AD107" s="56"/>
      <c r="AE107" s="56"/>
      <c r="AF107" s="56"/>
      <c r="AG107" s="35">
        <v>102</v>
      </c>
      <c r="AH107" s="382">
        <f t="shared" si="14"/>
        <v>731880.8433650393</v>
      </c>
      <c r="AI107" s="382">
        <f t="shared" si="17"/>
        <v>13905736.023935776</v>
      </c>
      <c r="AJ107" s="435">
        <f t="shared" si="18"/>
        <v>1348666.23108555</v>
      </c>
      <c r="AK107" s="35"/>
      <c r="AL107" s="424">
        <f t="shared" si="15"/>
        <v>130802.81034218986</v>
      </c>
      <c r="AM107" s="382">
        <f t="shared" si="16"/>
        <v>601078.0330228495</v>
      </c>
      <c r="AN107" s="56"/>
      <c r="AO107" s="160"/>
    </row>
    <row r="108" spans="28:41" ht="12.75">
      <c r="AB108" s="159"/>
      <c r="AC108" s="56"/>
      <c r="AD108" s="56"/>
      <c r="AE108" s="56"/>
      <c r="AF108" s="56"/>
      <c r="AG108" s="35">
        <v>103</v>
      </c>
      <c r="AH108" s="382">
        <f t="shared" si="14"/>
        <v>731880.8433650393</v>
      </c>
      <c r="AI108" s="382">
        <f t="shared" si="17"/>
        <v>13173855.180570737</v>
      </c>
      <c r="AJ108" s="435">
        <f t="shared" si="18"/>
        <v>1217863.4207433602</v>
      </c>
      <c r="AK108" s="35"/>
      <c r="AL108" s="424">
        <f t="shared" si="15"/>
        <v>124541.58083153516</v>
      </c>
      <c r="AM108" s="382">
        <f t="shared" si="16"/>
        <v>607339.2625335042</v>
      </c>
      <c r="AN108" s="56"/>
      <c r="AO108" s="160"/>
    </row>
    <row r="109" spans="28:41" ht="12.75">
      <c r="AB109" s="159"/>
      <c r="AC109" s="56"/>
      <c r="AD109" s="56"/>
      <c r="AE109" s="56"/>
      <c r="AF109" s="56"/>
      <c r="AG109" s="35">
        <v>104</v>
      </c>
      <c r="AH109" s="382">
        <f t="shared" si="14"/>
        <v>731880.8433650393</v>
      </c>
      <c r="AI109" s="382">
        <f t="shared" si="17"/>
        <v>12441974.337205697</v>
      </c>
      <c r="AJ109" s="435">
        <f t="shared" si="18"/>
        <v>1093321.839911825</v>
      </c>
      <c r="AK109" s="35"/>
      <c r="AL109" s="424">
        <f t="shared" si="15"/>
        <v>118215.13018014448</v>
      </c>
      <c r="AM109" s="382">
        <f t="shared" si="16"/>
        <v>613665.7131848949</v>
      </c>
      <c r="AN109" s="56"/>
      <c r="AO109" s="160"/>
    </row>
    <row r="110" spans="28:41" ht="12.75">
      <c r="AB110" s="159"/>
      <c r="AC110" s="56"/>
      <c r="AD110" s="56"/>
      <c r="AE110" s="56"/>
      <c r="AF110" s="56"/>
      <c r="AG110" s="35">
        <v>105</v>
      </c>
      <c r="AH110" s="382">
        <f t="shared" si="14"/>
        <v>731880.8433650393</v>
      </c>
      <c r="AI110" s="382">
        <f t="shared" si="17"/>
        <v>11710093.493840657</v>
      </c>
      <c r="AJ110" s="435">
        <f t="shared" si="18"/>
        <v>975106.7097316806</v>
      </c>
      <c r="AK110" s="35"/>
      <c r="AL110" s="424">
        <f t="shared" si="15"/>
        <v>111822.77900113516</v>
      </c>
      <c r="AM110" s="382">
        <f t="shared" si="16"/>
        <v>620058.0643639042</v>
      </c>
      <c r="AN110" s="56"/>
      <c r="AO110" s="160"/>
    </row>
    <row r="111" spans="28:41" ht="12.75">
      <c r="AB111" s="159"/>
      <c r="AC111" s="56"/>
      <c r="AD111" s="56"/>
      <c r="AE111" s="56"/>
      <c r="AF111" s="56"/>
      <c r="AG111" s="35">
        <v>106</v>
      </c>
      <c r="AH111" s="382">
        <f t="shared" si="14"/>
        <v>731880.8433650393</v>
      </c>
      <c r="AI111" s="382">
        <f t="shared" si="17"/>
        <v>10978212.650475617</v>
      </c>
      <c r="AJ111" s="435">
        <f t="shared" si="18"/>
        <v>863283.9307305454</v>
      </c>
      <c r="AK111" s="35"/>
      <c r="AL111" s="424">
        <f t="shared" si="15"/>
        <v>105363.84083067783</v>
      </c>
      <c r="AM111" s="382">
        <f t="shared" si="16"/>
        <v>626517.0025343616</v>
      </c>
      <c r="AN111" s="56"/>
      <c r="AO111" s="160"/>
    </row>
    <row r="112" spans="28:41" ht="12.75">
      <c r="AB112" s="159"/>
      <c r="AC112" s="56"/>
      <c r="AD112" s="56"/>
      <c r="AE112" s="56"/>
      <c r="AF112" s="56"/>
      <c r="AG112" s="35">
        <v>107</v>
      </c>
      <c r="AH112" s="382">
        <f t="shared" si="14"/>
        <v>731880.8433650393</v>
      </c>
      <c r="AI112" s="382">
        <f t="shared" si="17"/>
        <v>10246331.807110578</v>
      </c>
      <c r="AJ112" s="435">
        <f t="shared" si="18"/>
        <v>757920.0898998675</v>
      </c>
      <c r="AK112" s="35"/>
      <c r="AL112" s="424">
        <f t="shared" si="15"/>
        <v>98837.62205427822</v>
      </c>
      <c r="AM112" s="382">
        <f t="shared" si="16"/>
        <v>633043.2213107611</v>
      </c>
      <c r="AN112" s="56"/>
      <c r="AO112" s="160"/>
    </row>
    <row r="113" spans="28:41" ht="12.75">
      <c r="AB113" s="159"/>
      <c r="AC113" s="56"/>
      <c r="AD113" s="56"/>
      <c r="AE113" s="56"/>
      <c r="AF113" s="56"/>
      <c r="AG113" s="35">
        <v>108</v>
      </c>
      <c r="AH113" s="382">
        <f t="shared" si="14"/>
        <v>731880.8433650393</v>
      </c>
      <c r="AI113" s="382">
        <f t="shared" si="17"/>
        <v>9514450.963745538</v>
      </c>
      <c r="AJ113" s="435">
        <f t="shared" si="18"/>
        <v>659082.4678455893</v>
      </c>
      <c r="AK113" s="35"/>
      <c r="AL113" s="424">
        <f t="shared" si="15"/>
        <v>92243.42183229113</v>
      </c>
      <c r="AM113" s="382">
        <f t="shared" si="16"/>
        <v>639637.4215327482</v>
      </c>
      <c r="AN113" s="56"/>
      <c r="AO113" s="160"/>
    </row>
    <row r="114" spans="28:41" ht="12.75">
      <c r="AB114" s="159"/>
      <c r="AC114" s="56"/>
      <c r="AD114" s="56"/>
      <c r="AE114" s="56"/>
      <c r="AF114" s="56"/>
      <c r="AG114" s="35">
        <v>109</v>
      </c>
      <c r="AH114" s="382">
        <f t="shared" si="14"/>
        <v>731880.8433650393</v>
      </c>
      <c r="AI114" s="382">
        <f t="shared" si="17"/>
        <v>8782570.120380498</v>
      </c>
      <c r="AJ114" s="435">
        <f t="shared" si="18"/>
        <v>566839.0460132981</v>
      </c>
      <c r="AK114" s="35"/>
      <c r="AL114" s="424">
        <f t="shared" si="15"/>
        <v>85580.53202465833</v>
      </c>
      <c r="AM114" s="382">
        <f t="shared" si="16"/>
        <v>646300.311340381</v>
      </c>
      <c r="AN114" s="56"/>
      <c r="AO114" s="160"/>
    </row>
    <row r="115" spans="28:41" ht="12.75">
      <c r="AB115" s="159"/>
      <c r="AC115" s="56"/>
      <c r="AD115" s="56"/>
      <c r="AE115" s="56"/>
      <c r="AF115" s="56"/>
      <c r="AG115" s="35">
        <v>110</v>
      </c>
      <c r="AH115" s="382">
        <f t="shared" si="14"/>
        <v>731880.8433650393</v>
      </c>
      <c r="AI115" s="382">
        <f t="shared" si="17"/>
        <v>8050689.277015459</v>
      </c>
      <c r="AJ115" s="435">
        <f t="shared" si="18"/>
        <v>481258.51398863975</v>
      </c>
      <c r="AK115" s="35"/>
      <c r="AL115" s="424">
        <f t="shared" si="15"/>
        <v>78848.23711486268</v>
      </c>
      <c r="AM115" s="382">
        <f t="shared" si="16"/>
        <v>653032.6062501767</v>
      </c>
      <c r="AN115" s="56"/>
      <c r="AO115" s="160"/>
    </row>
    <row r="116" spans="28:41" ht="12.75">
      <c r="AB116" s="159"/>
      <c r="AC116" s="56"/>
      <c r="AD116" s="56"/>
      <c r="AE116" s="56"/>
      <c r="AF116" s="56"/>
      <c r="AG116" s="35">
        <v>111</v>
      </c>
      <c r="AH116" s="382">
        <f t="shared" si="14"/>
        <v>731880.8433650393</v>
      </c>
      <c r="AI116" s="382">
        <f t="shared" si="17"/>
        <v>7318808.433650419</v>
      </c>
      <c r="AJ116" s="435">
        <f t="shared" si="18"/>
        <v>402410.27687377704</v>
      </c>
      <c r="AK116" s="35"/>
      <c r="AL116" s="424">
        <f t="shared" si="15"/>
        <v>72045.81413309003</v>
      </c>
      <c r="AM116" s="382">
        <f t="shared" si="16"/>
        <v>659835.0292319492</v>
      </c>
      <c r="AN116" s="56"/>
      <c r="AO116" s="160"/>
    </row>
    <row r="117" spans="28:41" ht="12.75">
      <c r="AB117" s="159"/>
      <c r="AC117" s="56"/>
      <c r="AD117" s="56"/>
      <c r="AE117" s="56"/>
      <c r="AF117" s="56"/>
      <c r="AG117" s="35">
        <v>112</v>
      </c>
      <c r="AH117" s="382">
        <f t="shared" si="14"/>
        <v>731880.8433650393</v>
      </c>
      <c r="AI117" s="382">
        <f t="shared" si="17"/>
        <v>6586927.590285379</v>
      </c>
      <c r="AJ117" s="435">
        <f t="shared" si="18"/>
        <v>330364.462740687</v>
      </c>
      <c r="AK117" s="35"/>
      <c r="AL117" s="424">
        <f t="shared" si="15"/>
        <v>65172.532578590544</v>
      </c>
      <c r="AM117" s="382">
        <f t="shared" si="16"/>
        <v>666708.3107864488</v>
      </c>
      <c r="AN117" s="56"/>
      <c r="AO117" s="160"/>
    </row>
    <row r="118" spans="28:41" ht="12.75">
      <c r="AB118" s="159"/>
      <c r="AC118" s="56"/>
      <c r="AD118" s="56"/>
      <c r="AE118" s="56"/>
      <c r="AF118" s="56"/>
      <c r="AG118" s="35">
        <v>113</v>
      </c>
      <c r="AH118" s="382">
        <f t="shared" si="14"/>
        <v>731880.8433650393</v>
      </c>
      <c r="AI118" s="382">
        <f t="shared" si="17"/>
        <v>5855046.74692034</v>
      </c>
      <c r="AJ118" s="435">
        <f t="shared" si="18"/>
        <v>265191.93016209645</v>
      </c>
      <c r="AK118" s="35"/>
      <c r="AL118" s="424">
        <f t="shared" si="15"/>
        <v>58227.6543412317</v>
      </c>
      <c r="AM118" s="382">
        <f t="shared" si="16"/>
        <v>673653.1890238076</v>
      </c>
      <c r="AN118" s="56"/>
      <c r="AO118" s="160"/>
    </row>
    <row r="119" spans="28:41" ht="12.75">
      <c r="AB119" s="159"/>
      <c r="AC119" s="56"/>
      <c r="AD119" s="56"/>
      <c r="AE119" s="56"/>
      <c r="AF119" s="56"/>
      <c r="AG119" s="35">
        <v>114</v>
      </c>
      <c r="AH119" s="382">
        <f t="shared" si="14"/>
        <v>731880.8433650393</v>
      </c>
      <c r="AI119" s="382">
        <f t="shared" si="17"/>
        <v>5123165.9035553</v>
      </c>
      <c r="AJ119" s="435">
        <f t="shared" si="18"/>
        <v>206964.27582086477</v>
      </c>
      <c r="AK119" s="35"/>
      <c r="AL119" s="424">
        <f t="shared" si="15"/>
        <v>51210.4336222337</v>
      </c>
      <c r="AM119" s="382">
        <f t="shared" si="16"/>
        <v>680670.4097428056</v>
      </c>
      <c r="AN119" s="56"/>
      <c r="AO119" s="160"/>
    </row>
    <row r="120" spans="28:41" ht="12.75">
      <c r="AB120" s="159"/>
      <c r="AC120" s="56"/>
      <c r="AD120" s="56"/>
      <c r="AE120" s="56"/>
      <c r="AF120" s="56"/>
      <c r="AG120" s="35">
        <v>115</v>
      </c>
      <c r="AH120" s="382">
        <f t="shared" si="14"/>
        <v>731880.8433650393</v>
      </c>
      <c r="AI120" s="382">
        <f t="shared" si="17"/>
        <v>4391285.06019026</v>
      </c>
      <c r="AJ120" s="435">
        <f t="shared" si="18"/>
        <v>155753.8421986311</v>
      </c>
      <c r="AK120" s="35"/>
      <c r="AL120" s="424">
        <f t="shared" si="15"/>
        <v>44120.116854079475</v>
      </c>
      <c r="AM120" s="382">
        <f t="shared" si="16"/>
        <v>687760.7265109599</v>
      </c>
      <c r="AN120" s="56"/>
      <c r="AO120" s="160"/>
    </row>
    <row r="121" spans="28:41" ht="12.75">
      <c r="AB121" s="159"/>
      <c r="AC121" s="56"/>
      <c r="AD121" s="56"/>
      <c r="AE121" s="56"/>
      <c r="AF121" s="56"/>
      <c r="AG121" s="35">
        <v>116</v>
      </c>
      <c r="AH121" s="382">
        <f t="shared" si="14"/>
        <v>731880.8433650393</v>
      </c>
      <c r="AI121" s="382">
        <f t="shared" si="17"/>
        <v>3659404.216825221</v>
      </c>
      <c r="AJ121" s="435">
        <f t="shared" si="18"/>
        <v>111633.72534455161</v>
      </c>
      <c r="AK121" s="35"/>
      <c r="AL121" s="424">
        <f t="shared" si="15"/>
        <v>36955.94261959031</v>
      </c>
      <c r="AM121" s="382">
        <f t="shared" si="16"/>
        <v>694924.900745449</v>
      </c>
      <c r="AN121" s="56"/>
      <c r="AO121" s="160"/>
    </row>
    <row r="122" spans="28:41" ht="12.75">
      <c r="AB122" s="159"/>
      <c r="AC122" s="56"/>
      <c r="AD122" s="56"/>
      <c r="AE122" s="56"/>
      <c r="AF122" s="56"/>
      <c r="AG122" s="35">
        <v>117</v>
      </c>
      <c r="AH122" s="382">
        <f t="shared" si="14"/>
        <v>731880.8433650393</v>
      </c>
      <c r="AI122" s="382">
        <f t="shared" si="17"/>
        <v>2927523.373460182</v>
      </c>
      <c r="AJ122" s="435">
        <f t="shared" si="18"/>
        <v>74677.7827249613</v>
      </c>
      <c r="AK122" s="35"/>
      <c r="AL122" s="424">
        <f t="shared" si="15"/>
        <v>29717.14157015855</v>
      </c>
      <c r="AM122" s="382">
        <f t="shared" si="16"/>
        <v>702163.7017948808</v>
      </c>
      <c r="AN122" s="56"/>
      <c r="AO122" s="160"/>
    </row>
    <row r="123" spans="28:41" ht="12.75">
      <c r="AB123" s="159"/>
      <c r="AC123" s="56"/>
      <c r="AD123" s="56"/>
      <c r="AE123" s="56"/>
      <c r="AF123" s="56"/>
      <c r="AG123" s="35">
        <v>118</v>
      </c>
      <c r="AH123" s="382">
        <f t="shared" si="14"/>
        <v>731880.8433650393</v>
      </c>
      <c r="AI123" s="382">
        <f t="shared" si="17"/>
        <v>2195642.530095143</v>
      </c>
      <c r="AJ123" s="435">
        <f t="shared" si="18"/>
        <v>44960.64115480275</v>
      </c>
      <c r="AK123" s="35"/>
      <c r="AL123" s="424">
        <f t="shared" si="15"/>
        <v>22402.93634312854</v>
      </c>
      <c r="AM123" s="382">
        <f t="shared" si="16"/>
        <v>709477.9070219108</v>
      </c>
      <c r="AN123" s="56"/>
      <c r="AO123" s="160"/>
    </row>
    <row r="124" spans="28:41" ht="12.75">
      <c r="AB124" s="159"/>
      <c r="AC124" s="56"/>
      <c r="AD124" s="56"/>
      <c r="AE124" s="56"/>
      <c r="AF124" s="56"/>
      <c r="AG124" s="35">
        <v>119</v>
      </c>
      <c r="AH124" s="382">
        <f t="shared" si="14"/>
        <v>731880.8433650393</v>
      </c>
      <c r="AI124" s="382">
        <f t="shared" si="17"/>
        <v>1463761.6867301036</v>
      </c>
      <c r="AJ124" s="435">
        <f t="shared" si="18"/>
        <v>22557.704811674215</v>
      </c>
      <c r="AK124" s="35"/>
      <c r="AL124" s="424">
        <f t="shared" si="15"/>
        <v>15012.54147831697</v>
      </c>
      <c r="AM124" s="382">
        <f t="shared" si="16"/>
        <v>716868.3018867223</v>
      </c>
      <c r="AN124" s="56"/>
      <c r="AO124" s="160"/>
    </row>
    <row r="125" spans="28:41" ht="12.75">
      <c r="AB125" s="159"/>
      <c r="AC125" s="56"/>
      <c r="AD125" s="56"/>
      <c r="AE125" s="56"/>
      <c r="AF125" s="56"/>
      <c r="AG125" s="35">
        <v>120</v>
      </c>
      <c r="AH125" s="382">
        <f t="shared" si="14"/>
        <v>731880.8433650393</v>
      </c>
      <c r="AI125" s="382">
        <f>AI124-AH125</f>
        <v>731880.8433650642</v>
      </c>
      <c r="AJ125" s="435">
        <f t="shared" si="18"/>
        <v>7545.1633333572445</v>
      </c>
      <c r="AK125" s="35"/>
      <c r="AL125" s="424">
        <f t="shared" si="15"/>
        <v>7545.163333663615</v>
      </c>
      <c r="AM125" s="382">
        <f t="shared" si="16"/>
        <v>724335.6800313757</v>
      </c>
      <c r="AN125" s="56"/>
      <c r="AO125" s="160"/>
    </row>
    <row r="126" spans="28:41" ht="12.75">
      <c r="AB126" s="159"/>
      <c r="AC126" s="56"/>
      <c r="AD126" s="56"/>
      <c r="AE126" s="56"/>
      <c r="AF126" s="56"/>
      <c r="AG126" s="35"/>
      <c r="AH126" s="35"/>
      <c r="AI126" s="382">
        <v>0</v>
      </c>
      <c r="AJ126" s="35"/>
      <c r="AK126" s="35"/>
      <c r="AL126" s="35"/>
      <c r="AM126" s="35"/>
      <c r="AN126" s="56"/>
      <c r="AO126" s="160"/>
    </row>
    <row r="127" spans="28:41" ht="13.5" thickBot="1">
      <c r="AB127" s="177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9"/>
    </row>
  </sheetData>
  <mergeCells count="106">
    <mergeCell ref="U7:U9"/>
    <mergeCell ref="V7:V9"/>
    <mergeCell ref="J55:L55"/>
    <mergeCell ref="P49:S49"/>
    <mergeCell ref="P50:S50"/>
    <mergeCell ref="J50:N50"/>
    <mergeCell ref="J51:L51"/>
    <mergeCell ref="P51:S51"/>
    <mergeCell ref="P52:S52"/>
    <mergeCell ref="P53:S53"/>
    <mergeCell ref="J53:L53"/>
    <mergeCell ref="J52:L52"/>
    <mergeCell ref="P46:S46"/>
    <mergeCell ref="P47:S47"/>
    <mergeCell ref="P48:S48"/>
    <mergeCell ref="J47:L47"/>
    <mergeCell ref="J46:L46"/>
    <mergeCell ref="J39:L39"/>
    <mergeCell ref="P43:S43"/>
    <mergeCell ref="P45:S45"/>
    <mergeCell ref="P44:S44"/>
    <mergeCell ref="J44:L44"/>
    <mergeCell ref="J43:L43"/>
    <mergeCell ref="J45:L45"/>
    <mergeCell ref="P42:S42"/>
    <mergeCell ref="P39:S39"/>
    <mergeCell ref="P40:S40"/>
    <mergeCell ref="J35:L35"/>
    <mergeCell ref="J37:L37"/>
    <mergeCell ref="J38:L38"/>
    <mergeCell ref="J36:L36"/>
    <mergeCell ref="J31:N31"/>
    <mergeCell ref="J32:N32"/>
    <mergeCell ref="J33:N33"/>
    <mergeCell ref="H33:H34"/>
    <mergeCell ref="J34:L34"/>
    <mergeCell ref="C61:E61"/>
    <mergeCell ref="C62:E62"/>
    <mergeCell ref="C63:E63"/>
    <mergeCell ref="C58:E58"/>
    <mergeCell ref="C59:E59"/>
    <mergeCell ref="C60:E60"/>
    <mergeCell ref="C51:E51"/>
    <mergeCell ref="C52:E52"/>
    <mergeCell ref="J48:L48"/>
    <mergeCell ref="C57:E57"/>
    <mergeCell ref="C53:E53"/>
    <mergeCell ref="C54:E54"/>
    <mergeCell ref="C55:E55"/>
    <mergeCell ref="C56:E56"/>
    <mergeCell ref="C50:E50"/>
    <mergeCell ref="J54:L54"/>
    <mergeCell ref="C45:E45"/>
    <mergeCell ref="C46:E46"/>
    <mergeCell ref="C47:E47"/>
    <mergeCell ref="C48:E48"/>
    <mergeCell ref="P31:V31"/>
    <mergeCell ref="P32:V32"/>
    <mergeCell ref="P33:V33"/>
    <mergeCell ref="D12:F12"/>
    <mergeCell ref="D13:F13"/>
    <mergeCell ref="C28:D29"/>
    <mergeCell ref="D14:F14"/>
    <mergeCell ref="C31:G31"/>
    <mergeCell ref="C32:G32"/>
    <mergeCell ref="C33:G33"/>
    <mergeCell ref="C43:E43"/>
    <mergeCell ref="C42:E42"/>
    <mergeCell ref="J40:L40"/>
    <mergeCell ref="P35:S35"/>
    <mergeCell ref="P36:S36"/>
    <mergeCell ref="P37:S37"/>
    <mergeCell ref="P38:S38"/>
    <mergeCell ref="J41:L41"/>
    <mergeCell ref="J42:L42"/>
    <mergeCell ref="P41:S41"/>
    <mergeCell ref="C44:E44"/>
    <mergeCell ref="C49:E49"/>
    <mergeCell ref="C34:E34"/>
    <mergeCell ref="C35:E35"/>
    <mergeCell ref="C37:E37"/>
    <mergeCell ref="C38:E38"/>
    <mergeCell ref="C39:E39"/>
    <mergeCell ref="C36:E36"/>
    <mergeCell ref="C40:E40"/>
    <mergeCell ref="C41:E41"/>
    <mergeCell ref="AC4:AD5"/>
    <mergeCell ref="J9:L9"/>
    <mergeCell ref="M9:O9"/>
    <mergeCell ref="W7:W9"/>
    <mergeCell ref="X7:X9"/>
    <mergeCell ref="Y7:Y9"/>
    <mergeCell ref="C6:O6"/>
    <mergeCell ref="C7:O7"/>
    <mergeCell ref="C8:O8"/>
    <mergeCell ref="C9:C10"/>
    <mergeCell ref="C3:D4"/>
    <mergeCell ref="S4:T5"/>
    <mergeCell ref="D18:F18"/>
    <mergeCell ref="D15:F15"/>
    <mergeCell ref="D16:F16"/>
    <mergeCell ref="D17:F17"/>
    <mergeCell ref="D11:F11"/>
    <mergeCell ref="G9:I9"/>
    <mergeCell ref="D9:F10"/>
    <mergeCell ref="T7:T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88"/>
  <sheetViews>
    <sheetView rightToLeft="1" workbookViewId="0" topLeftCell="AO35">
      <selection activeCell="AX49" sqref="AX49"/>
    </sheetView>
  </sheetViews>
  <sheetFormatPr defaultColWidth="9.140625" defaultRowHeight="12.75"/>
  <cols>
    <col min="3" max="3" width="10.8515625" style="0" bestFit="1" customWidth="1"/>
    <col min="15" max="15" width="9.00390625" style="0" customWidth="1"/>
    <col min="16" max="16" width="10.140625" style="0" customWidth="1"/>
    <col min="18" max="18" width="12.28125" style="0" customWidth="1"/>
    <col min="25" max="25" width="10.28125" style="0" bestFit="1" customWidth="1"/>
    <col min="28" max="29" width="9.28125" style="0" bestFit="1" customWidth="1"/>
    <col min="33" max="34" width="9.8515625" style="0" bestFit="1" customWidth="1"/>
    <col min="35" max="36" width="9.28125" style="0" bestFit="1" customWidth="1"/>
    <col min="37" max="38" width="9.28125" style="0" customWidth="1"/>
    <col min="51" max="53" width="9.140625" style="193" customWidth="1"/>
    <col min="54" max="54" width="12.8515625" style="193" bestFit="1" customWidth="1"/>
    <col min="55" max="57" width="10.00390625" style="193" bestFit="1" customWidth="1"/>
    <col min="58" max="58" width="9.140625" style="193" customWidth="1"/>
    <col min="59" max="59" width="10.00390625" style="193" bestFit="1" customWidth="1"/>
  </cols>
  <sheetData>
    <row r="1" ht="15.75" thickBot="1"/>
    <row r="2" spans="2:60" ht="12.75" customHeight="1" thickBot="1">
      <c r="B2" s="174"/>
      <c r="C2" s="902" t="s">
        <v>192</v>
      </c>
      <c r="D2" s="902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8"/>
      <c r="AN2" s="174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204"/>
      <c r="AZ2" s="204"/>
      <c r="BA2" s="204"/>
      <c r="BB2" s="204"/>
      <c r="BC2" s="204"/>
      <c r="BD2" s="204"/>
      <c r="BE2" s="204"/>
      <c r="BF2" s="204"/>
      <c r="BG2" s="204"/>
      <c r="BH2" s="158"/>
    </row>
    <row r="3" spans="2:60" ht="13.5" customHeight="1" thickBot="1">
      <c r="B3" s="175"/>
      <c r="C3" s="903"/>
      <c r="D3" s="903"/>
      <c r="E3" s="56"/>
      <c r="F3" s="56"/>
      <c r="G3" s="56"/>
      <c r="H3" s="56"/>
      <c r="I3" s="56"/>
      <c r="J3" s="56"/>
      <c r="K3" s="56"/>
      <c r="L3" s="56"/>
      <c r="M3" s="56"/>
      <c r="N3" s="56"/>
      <c r="O3" s="61"/>
      <c r="P3" s="61"/>
      <c r="Q3" s="61"/>
      <c r="R3" s="61"/>
      <c r="S3" s="61"/>
      <c r="T3" s="61"/>
      <c r="U3" s="61"/>
      <c r="V3" s="61"/>
      <c r="W3" s="61"/>
      <c r="X3" s="61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160"/>
      <c r="AN3" s="159"/>
      <c r="AO3" s="727" t="s">
        <v>197</v>
      </c>
      <c r="AP3" s="727"/>
      <c r="AQ3" s="56"/>
      <c r="AR3" s="56"/>
      <c r="AS3" s="56"/>
      <c r="AT3" s="56"/>
      <c r="AU3" s="56"/>
      <c r="AV3" s="56"/>
      <c r="AW3" s="56"/>
      <c r="AX3" s="56"/>
      <c r="AY3" s="205"/>
      <c r="AZ3" s="205"/>
      <c r="BA3" s="205"/>
      <c r="BB3" s="205"/>
      <c r="BC3" s="205"/>
      <c r="BD3" s="205"/>
      <c r="BE3" s="205"/>
      <c r="BF3" s="205"/>
      <c r="BG3" s="205"/>
      <c r="BH3" s="160"/>
    </row>
    <row r="4" spans="2:60" ht="14.25" customHeight="1" thickBot="1" thickTop="1">
      <c r="B4" s="159"/>
      <c r="C4" s="65"/>
      <c r="D4" s="63"/>
      <c r="E4" s="63"/>
      <c r="F4" s="63"/>
      <c r="G4" s="63"/>
      <c r="H4" s="63"/>
      <c r="I4" s="63"/>
      <c r="J4" s="63"/>
      <c r="K4" s="63"/>
      <c r="L4" s="63"/>
      <c r="M4" s="64"/>
      <c r="N4" s="30"/>
      <c r="O4" s="65"/>
      <c r="P4" s="30"/>
      <c r="Q4" s="30"/>
      <c r="R4" s="30"/>
      <c r="S4" s="30"/>
      <c r="T4" s="30"/>
      <c r="U4" s="30"/>
      <c r="V4" s="30"/>
      <c r="W4" s="30"/>
      <c r="X4" s="30"/>
      <c r="Y4" s="752"/>
      <c r="Z4" s="754"/>
      <c r="AA4" s="62"/>
      <c r="AB4" s="63"/>
      <c r="AC4" s="63"/>
      <c r="AD4" s="63"/>
      <c r="AE4" s="63"/>
      <c r="AF4" s="63"/>
      <c r="AG4" s="63"/>
      <c r="AH4" s="752"/>
      <c r="AI4" s="753"/>
      <c r="AJ4" s="754"/>
      <c r="AK4" s="160"/>
      <c r="AN4" s="159"/>
      <c r="AO4" s="728"/>
      <c r="AP4" s="728"/>
      <c r="AQ4" s="56"/>
      <c r="AR4" s="56"/>
      <c r="AS4" s="56"/>
      <c r="AT4" s="56"/>
      <c r="AU4" s="56"/>
      <c r="AV4" s="56"/>
      <c r="AW4" s="56"/>
      <c r="AX4" s="56"/>
      <c r="AY4" s="205"/>
      <c r="AZ4" s="205"/>
      <c r="BA4" s="205"/>
      <c r="BB4" s="205"/>
      <c r="BC4" s="205"/>
      <c r="BD4" s="205"/>
      <c r="BE4" s="205"/>
      <c r="BF4" s="205"/>
      <c r="BG4" s="205"/>
      <c r="BH4" s="160"/>
    </row>
    <row r="5" spans="2:60" ht="14.25" customHeight="1" thickBot="1">
      <c r="B5" s="159"/>
      <c r="C5" s="65"/>
      <c r="D5" s="30"/>
      <c r="E5" s="30"/>
      <c r="F5" s="30"/>
      <c r="G5" s="30"/>
      <c r="H5" s="30"/>
      <c r="I5" s="30"/>
      <c r="J5" s="30"/>
      <c r="K5" s="30"/>
      <c r="L5" s="30"/>
      <c r="M5" s="67"/>
      <c r="N5" s="30"/>
      <c r="O5" s="65"/>
      <c r="P5" s="30"/>
      <c r="Q5" s="30"/>
      <c r="R5" s="30"/>
      <c r="S5" s="30"/>
      <c r="T5" s="30"/>
      <c r="U5" s="30"/>
      <c r="V5" s="30"/>
      <c r="W5" s="30"/>
      <c r="X5" s="30"/>
      <c r="Y5" s="30"/>
      <c r="Z5" s="67"/>
      <c r="AA5" s="65"/>
      <c r="AB5" s="30"/>
      <c r="AC5" s="30"/>
      <c r="AD5" s="30"/>
      <c r="AE5" s="30"/>
      <c r="AF5" s="30"/>
      <c r="AG5" s="30"/>
      <c r="AH5" s="30"/>
      <c r="AI5" s="30"/>
      <c r="AJ5" s="67"/>
      <c r="AK5" s="160"/>
      <c r="AN5" s="159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205"/>
      <c r="AZ5" s="205"/>
      <c r="BA5" s="205"/>
      <c r="BB5" s="205"/>
      <c r="BC5" s="205"/>
      <c r="BD5" s="205"/>
      <c r="BE5" s="205"/>
      <c r="BF5" s="205"/>
      <c r="BG5" s="205"/>
      <c r="BH5" s="160"/>
    </row>
    <row r="6" spans="2:60" ht="16.5" customHeight="1" thickBot="1" thickTop="1">
      <c r="B6" s="159"/>
      <c r="C6" s="65"/>
      <c r="D6" s="815" t="s">
        <v>112</v>
      </c>
      <c r="E6" s="816"/>
      <c r="F6" s="816"/>
      <c r="G6" s="817"/>
      <c r="H6" s="30"/>
      <c r="I6" s="30"/>
      <c r="J6" s="834"/>
      <c r="K6" s="834"/>
      <c r="L6" s="834"/>
      <c r="M6" s="67"/>
      <c r="N6" s="30"/>
      <c r="O6" s="65"/>
      <c r="P6" s="30"/>
      <c r="Q6" s="30"/>
      <c r="R6" s="30"/>
      <c r="S6" s="30"/>
      <c r="T6" s="30"/>
      <c r="U6" s="30"/>
      <c r="V6" s="30"/>
      <c r="W6" s="30"/>
      <c r="X6" s="30"/>
      <c r="Y6" s="30"/>
      <c r="Z6" s="67"/>
      <c r="AA6" s="65"/>
      <c r="AB6" s="782" t="s">
        <v>146</v>
      </c>
      <c r="AC6" s="783"/>
      <c r="AD6" s="784"/>
      <c r="AE6" s="30"/>
      <c r="AF6" s="30"/>
      <c r="AG6" s="30"/>
      <c r="AH6" s="30"/>
      <c r="AI6" s="30"/>
      <c r="AJ6" s="67"/>
      <c r="AK6" s="160"/>
      <c r="AN6" s="159"/>
      <c r="AO6" s="56"/>
      <c r="AP6" s="623" t="s">
        <v>198</v>
      </c>
      <c r="AQ6" s="623"/>
      <c r="AR6" s="623"/>
      <c r="AS6" s="623"/>
      <c r="AT6" s="623"/>
      <c r="AU6" s="623"/>
      <c r="AV6" s="623"/>
      <c r="AW6" s="56"/>
      <c r="AX6" s="56"/>
      <c r="AY6" s="741" t="s">
        <v>215</v>
      </c>
      <c r="AZ6" s="742"/>
      <c r="BA6" s="742"/>
      <c r="BB6" s="742"/>
      <c r="BC6" s="742"/>
      <c r="BD6" s="742"/>
      <c r="BE6" s="742"/>
      <c r="BF6" s="742"/>
      <c r="BG6" s="743"/>
      <c r="BH6" s="160"/>
    </row>
    <row r="7" spans="2:60" ht="17.25" customHeight="1" thickBot="1" thickTop="1">
      <c r="B7" s="159"/>
      <c r="C7" s="65"/>
      <c r="D7" s="818"/>
      <c r="E7" s="819"/>
      <c r="F7" s="819"/>
      <c r="G7" s="820"/>
      <c r="H7" s="30"/>
      <c r="I7" s="30"/>
      <c r="J7" s="834"/>
      <c r="K7" s="834"/>
      <c r="L7" s="834"/>
      <c r="M7" s="67"/>
      <c r="N7" s="30"/>
      <c r="O7" s="65"/>
      <c r="P7" s="796" t="s">
        <v>113</v>
      </c>
      <c r="Q7" s="797"/>
      <c r="R7" s="797"/>
      <c r="S7" s="797"/>
      <c r="T7" s="797"/>
      <c r="U7" s="797"/>
      <c r="V7" s="797"/>
      <c r="W7" s="797"/>
      <c r="X7" s="797"/>
      <c r="Y7" s="798"/>
      <c r="Z7" s="67"/>
      <c r="AA7" s="65"/>
      <c r="AB7" s="785" t="s">
        <v>149</v>
      </c>
      <c r="AC7" s="786"/>
      <c r="AD7" s="787"/>
      <c r="AE7" s="30"/>
      <c r="AF7" s="30"/>
      <c r="AG7" s="30"/>
      <c r="AH7" s="30"/>
      <c r="AI7" s="30"/>
      <c r="AJ7" s="67"/>
      <c r="AK7" s="160"/>
      <c r="AN7" s="159"/>
      <c r="AO7" s="56"/>
      <c r="AP7" s="733"/>
      <c r="AQ7" s="734"/>
      <c r="AR7" s="734"/>
      <c r="AS7" s="735"/>
      <c r="AT7" s="731" t="s">
        <v>59</v>
      </c>
      <c r="AU7" s="180" t="s">
        <v>201</v>
      </c>
      <c r="AV7" s="180" t="s">
        <v>202</v>
      </c>
      <c r="AW7" s="56"/>
      <c r="AX7" s="56"/>
      <c r="AY7" s="744" t="s">
        <v>216</v>
      </c>
      <c r="AZ7" s="745"/>
      <c r="BA7" s="745"/>
      <c r="BB7" s="745"/>
      <c r="BC7" s="745"/>
      <c r="BD7" s="745"/>
      <c r="BE7" s="745"/>
      <c r="BF7" s="745"/>
      <c r="BG7" s="746"/>
      <c r="BH7" s="160"/>
    </row>
    <row r="8" spans="2:60" ht="16.5" thickBot="1" thickTop="1">
      <c r="B8" s="159"/>
      <c r="C8" s="68"/>
      <c r="D8" s="821"/>
      <c r="E8" s="822"/>
      <c r="F8" s="822"/>
      <c r="G8" s="823"/>
      <c r="H8" s="30"/>
      <c r="I8" s="30"/>
      <c r="J8" s="834"/>
      <c r="K8" s="834"/>
      <c r="L8" s="834"/>
      <c r="M8" s="67"/>
      <c r="N8" s="30"/>
      <c r="O8" s="65"/>
      <c r="P8" s="799"/>
      <c r="Q8" s="800"/>
      <c r="R8" s="800"/>
      <c r="S8" s="800"/>
      <c r="T8" s="800"/>
      <c r="U8" s="800"/>
      <c r="V8" s="800"/>
      <c r="W8" s="800"/>
      <c r="X8" s="800"/>
      <c r="Y8" s="801"/>
      <c r="Z8" s="67"/>
      <c r="AA8" s="65"/>
      <c r="AB8" s="774" t="s">
        <v>150</v>
      </c>
      <c r="AC8" s="775"/>
      <c r="AD8" s="776"/>
      <c r="AE8" s="30"/>
      <c r="AF8" s="30"/>
      <c r="AG8" s="769" t="s">
        <v>146</v>
      </c>
      <c r="AH8" s="770"/>
      <c r="AI8" s="770"/>
      <c r="AJ8" s="771"/>
      <c r="AK8" s="160"/>
      <c r="AN8" s="159"/>
      <c r="AO8" s="56"/>
      <c r="AP8" s="736"/>
      <c r="AQ8" s="737"/>
      <c r="AR8" s="737"/>
      <c r="AS8" s="738"/>
      <c r="AT8" s="732"/>
      <c r="AU8" s="181">
        <v>0.8</v>
      </c>
      <c r="AV8" s="181">
        <v>0.2</v>
      </c>
      <c r="AW8" s="56"/>
      <c r="AX8" s="56"/>
      <c r="AY8" s="747" t="s">
        <v>217</v>
      </c>
      <c r="AZ8" s="748"/>
      <c r="BA8" s="748"/>
      <c r="BB8" s="748"/>
      <c r="BC8" s="748"/>
      <c r="BD8" s="748"/>
      <c r="BE8" s="748"/>
      <c r="BF8" s="748"/>
      <c r="BG8" s="749"/>
      <c r="BH8" s="160"/>
    </row>
    <row r="9" spans="2:60" ht="17.25" thickBot="1" thickTop="1">
      <c r="B9" s="159"/>
      <c r="C9" s="65"/>
      <c r="D9" s="837" t="s">
        <v>114</v>
      </c>
      <c r="E9" s="838"/>
      <c r="F9" s="835" t="s">
        <v>115</v>
      </c>
      <c r="G9" s="836"/>
      <c r="H9" s="30"/>
      <c r="I9" s="30"/>
      <c r="J9" s="30"/>
      <c r="K9" s="30"/>
      <c r="L9" s="30"/>
      <c r="M9" s="67"/>
      <c r="N9" s="30"/>
      <c r="O9" s="65"/>
      <c r="P9" s="802"/>
      <c r="Q9" s="803"/>
      <c r="R9" s="803"/>
      <c r="S9" s="803"/>
      <c r="T9" s="803"/>
      <c r="U9" s="803"/>
      <c r="V9" s="803"/>
      <c r="W9" s="803"/>
      <c r="X9" s="803"/>
      <c r="Y9" s="804"/>
      <c r="Z9" s="67"/>
      <c r="AA9" s="65"/>
      <c r="AB9" s="789" t="s">
        <v>114</v>
      </c>
      <c r="AC9" s="790"/>
      <c r="AD9" s="88" t="s">
        <v>151</v>
      </c>
      <c r="AE9" s="30"/>
      <c r="AF9" s="30"/>
      <c r="AG9" s="759" t="s">
        <v>196</v>
      </c>
      <c r="AH9" s="760"/>
      <c r="AI9" s="760"/>
      <c r="AJ9" s="761"/>
      <c r="AK9" s="160"/>
      <c r="AN9" s="159"/>
      <c r="AO9" s="56"/>
      <c r="AP9" s="750" t="s">
        <v>200</v>
      </c>
      <c r="AQ9" s="751"/>
      <c r="AR9" s="751"/>
      <c r="AS9" s="751"/>
      <c r="AT9" s="186">
        <v>192000</v>
      </c>
      <c r="AU9" s="186">
        <f>$AU$8*AT9</f>
        <v>153600</v>
      </c>
      <c r="AV9" s="187">
        <f>$AV$8*AT9</f>
        <v>38400</v>
      </c>
      <c r="AW9" s="56"/>
      <c r="AX9" s="56"/>
      <c r="AY9" s="723" t="s">
        <v>218</v>
      </c>
      <c r="AZ9" s="723"/>
      <c r="BA9" s="723"/>
      <c r="BB9" s="723" t="s">
        <v>223</v>
      </c>
      <c r="BC9" s="723" t="s">
        <v>219</v>
      </c>
      <c r="BD9" s="723" t="s">
        <v>220</v>
      </c>
      <c r="BE9" s="723"/>
      <c r="BF9" s="723" t="s">
        <v>221</v>
      </c>
      <c r="BG9" s="723" t="s">
        <v>222</v>
      </c>
      <c r="BH9" s="160"/>
    </row>
    <row r="10" spans="2:60" ht="33" thickBot="1" thickTop="1">
      <c r="B10" s="159"/>
      <c r="C10" s="65"/>
      <c r="D10" s="839"/>
      <c r="E10" s="840"/>
      <c r="F10" s="69" t="s">
        <v>116</v>
      </c>
      <c r="G10" s="70" t="s">
        <v>117</v>
      </c>
      <c r="H10" s="30"/>
      <c r="I10" s="815" t="s">
        <v>118</v>
      </c>
      <c r="J10" s="816"/>
      <c r="K10" s="816"/>
      <c r="L10" s="817"/>
      <c r="M10" s="67"/>
      <c r="N10" s="30"/>
      <c r="O10" s="65"/>
      <c r="P10" s="806" t="s">
        <v>114</v>
      </c>
      <c r="Q10" s="794"/>
      <c r="R10" s="794" t="s">
        <v>116</v>
      </c>
      <c r="S10" s="794"/>
      <c r="T10" s="794" t="s">
        <v>117</v>
      </c>
      <c r="U10" s="794"/>
      <c r="V10" s="794" t="s">
        <v>119</v>
      </c>
      <c r="W10" s="794"/>
      <c r="X10" s="794" t="s">
        <v>120</v>
      </c>
      <c r="Y10" s="795"/>
      <c r="Z10" s="67"/>
      <c r="AA10" s="65"/>
      <c r="AB10" s="791" t="str">
        <f>'حسابداری پیشرفته 1و2'!P13</f>
        <v>فروش</v>
      </c>
      <c r="AC10" s="792"/>
      <c r="AD10" s="90">
        <f>'حسابداری پیشرفته 1و2'!Y13</f>
        <v>259</v>
      </c>
      <c r="AE10" s="30"/>
      <c r="AF10" s="30"/>
      <c r="AG10" s="762">
        <v>37254</v>
      </c>
      <c r="AH10" s="763"/>
      <c r="AI10" s="763"/>
      <c r="AJ10" s="764"/>
      <c r="AK10" s="160"/>
      <c r="AN10" s="159"/>
      <c r="AO10" s="56"/>
      <c r="AP10" s="729" t="s">
        <v>203</v>
      </c>
      <c r="AQ10" s="730"/>
      <c r="AR10" s="730"/>
      <c r="AS10" s="730"/>
      <c r="AT10" s="30"/>
      <c r="AU10" s="30"/>
      <c r="AV10" s="184"/>
      <c r="AW10" s="56"/>
      <c r="AX10" s="56"/>
      <c r="AY10" s="723"/>
      <c r="AZ10" s="723"/>
      <c r="BA10" s="723"/>
      <c r="BB10" s="723"/>
      <c r="BC10" s="723"/>
      <c r="BD10" s="194" t="s">
        <v>121</v>
      </c>
      <c r="BE10" s="194" t="s">
        <v>122</v>
      </c>
      <c r="BF10" s="723"/>
      <c r="BG10" s="723"/>
      <c r="BH10" s="160"/>
    </row>
    <row r="11" spans="2:60" ht="14.25" customHeight="1" thickBot="1" thickTop="1">
      <c r="B11" s="159"/>
      <c r="C11" s="65"/>
      <c r="D11" s="832" t="s">
        <v>40</v>
      </c>
      <c r="E11" s="833"/>
      <c r="F11" s="71">
        <v>229</v>
      </c>
      <c r="G11" s="72">
        <v>30</v>
      </c>
      <c r="H11" s="30"/>
      <c r="I11" s="818"/>
      <c r="J11" s="819"/>
      <c r="K11" s="819"/>
      <c r="L11" s="820"/>
      <c r="M11" s="67"/>
      <c r="N11" s="30"/>
      <c r="O11" s="65"/>
      <c r="P11" s="807"/>
      <c r="Q11" s="808"/>
      <c r="R11" s="73" t="s">
        <v>121</v>
      </c>
      <c r="S11" s="73" t="s">
        <v>122</v>
      </c>
      <c r="T11" s="73" t="s">
        <v>121</v>
      </c>
      <c r="U11" s="73" t="s">
        <v>122</v>
      </c>
      <c r="V11" s="73" t="s">
        <v>121</v>
      </c>
      <c r="W11" s="73" t="s">
        <v>122</v>
      </c>
      <c r="X11" s="73" t="s">
        <v>121</v>
      </c>
      <c r="Y11" s="73" t="s">
        <v>122</v>
      </c>
      <c r="Z11" s="67"/>
      <c r="AA11" s="65"/>
      <c r="AB11" s="757" t="s">
        <v>153</v>
      </c>
      <c r="AC11" s="788"/>
      <c r="AD11" s="95"/>
      <c r="AE11" s="30"/>
      <c r="AF11" s="30"/>
      <c r="AG11" s="772" t="s">
        <v>114</v>
      </c>
      <c r="AH11" s="773"/>
      <c r="AI11" s="96" t="s">
        <v>126</v>
      </c>
      <c r="AJ11" s="97" t="s">
        <v>122</v>
      </c>
      <c r="AK11" s="160"/>
      <c r="AN11" s="159"/>
      <c r="AO11" s="56"/>
      <c r="AP11" s="729" t="s">
        <v>204</v>
      </c>
      <c r="AQ11" s="730"/>
      <c r="AR11" s="730"/>
      <c r="AS11" s="730"/>
      <c r="AT11" s="30"/>
      <c r="AU11" s="30"/>
      <c r="AV11" s="184"/>
      <c r="AW11" s="56"/>
      <c r="AX11" s="56"/>
      <c r="AY11" s="724" t="s">
        <v>224</v>
      </c>
      <c r="AZ11" s="724"/>
      <c r="BA11" s="724"/>
      <c r="BB11" s="195">
        <v>83400</v>
      </c>
      <c r="BC11" s="195">
        <v>13000</v>
      </c>
      <c r="BD11" s="195"/>
      <c r="BE11" s="195"/>
      <c r="BF11" s="195"/>
      <c r="BG11" s="195">
        <f>BB11+BC11-BE11+BD11</f>
        <v>96400</v>
      </c>
      <c r="BH11" s="160"/>
    </row>
    <row r="12" spans="2:60" ht="15.75" customHeight="1" thickBot="1" thickTop="1">
      <c r="B12" s="159"/>
      <c r="C12" s="65"/>
      <c r="D12" s="828" t="s">
        <v>123</v>
      </c>
      <c r="E12" s="829"/>
      <c r="F12" s="74">
        <v>50</v>
      </c>
      <c r="G12" s="75">
        <v>0</v>
      </c>
      <c r="H12" s="30"/>
      <c r="I12" s="821"/>
      <c r="J12" s="822"/>
      <c r="K12" s="822"/>
      <c r="L12" s="823"/>
      <c r="M12" s="67"/>
      <c r="N12" s="30"/>
      <c r="O12" s="65"/>
      <c r="P12" s="805" t="s">
        <v>124</v>
      </c>
      <c r="Q12" s="805"/>
      <c r="R12" s="35"/>
      <c r="S12" s="35"/>
      <c r="T12" s="35"/>
      <c r="U12" s="35"/>
      <c r="V12" s="35"/>
      <c r="W12" s="35"/>
      <c r="X12" s="35"/>
      <c r="Y12" s="35"/>
      <c r="Z12" s="67"/>
      <c r="AA12" s="65"/>
      <c r="AB12" s="757" t="str">
        <f>'حسابداری پیشرفته 1و2'!P14</f>
        <v>موجودی کالا 1/1</v>
      </c>
      <c r="AC12" s="788"/>
      <c r="AD12" s="95">
        <f>'حسابداری پیشرفته 1و2'!X14</f>
        <v>50</v>
      </c>
      <c r="AE12" s="30"/>
      <c r="AF12" s="30"/>
      <c r="AG12" s="765" t="s">
        <v>154</v>
      </c>
      <c r="AH12" s="766"/>
      <c r="AI12" s="102"/>
      <c r="AJ12" s="103"/>
      <c r="AK12" s="160"/>
      <c r="AN12" s="159"/>
      <c r="AO12" s="56"/>
      <c r="AP12" s="729" t="s">
        <v>205</v>
      </c>
      <c r="AQ12" s="730"/>
      <c r="AR12" s="730"/>
      <c r="AS12" s="730"/>
      <c r="AT12" s="30">
        <v>-16000</v>
      </c>
      <c r="AU12" s="30">
        <f aca="true" t="shared" si="0" ref="AU12:AU17">$AU$8*AT12</f>
        <v>-12800</v>
      </c>
      <c r="AV12" s="184">
        <f aca="true" t="shared" si="1" ref="AV12:AV17">$AV$8*AT12</f>
        <v>-3200</v>
      </c>
      <c r="AW12" s="56"/>
      <c r="AX12" s="56"/>
      <c r="AY12" s="722" t="s">
        <v>225</v>
      </c>
      <c r="AZ12" s="722"/>
      <c r="BA12" s="722"/>
      <c r="BB12" s="196">
        <v>50000</v>
      </c>
      <c r="BC12" s="196">
        <v>26000</v>
      </c>
      <c r="BD12" s="196"/>
      <c r="BE12" s="196"/>
      <c r="BF12" s="196"/>
      <c r="BG12" s="195">
        <f aca="true" t="shared" si="2" ref="BG12:BG19">BB12+BC12-BE12+BD12</f>
        <v>76000</v>
      </c>
      <c r="BH12" s="160"/>
    </row>
    <row r="13" spans="2:60" ht="15.75" customHeight="1" thickBot="1" thickTop="1">
      <c r="B13" s="159"/>
      <c r="C13" s="65"/>
      <c r="D13" s="828" t="s">
        <v>125</v>
      </c>
      <c r="E13" s="829"/>
      <c r="F13" s="74">
        <v>193</v>
      </c>
      <c r="G13" s="75">
        <v>4</v>
      </c>
      <c r="H13" s="30"/>
      <c r="I13" s="824" t="s">
        <v>114</v>
      </c>
      <c r="J13" s="825"/>
      <c r="K13" s="76" t="s">
        <v>126</v>
      </c>
      <c r="L13" s="77" t="s">
        <v>122</v>
      </c>
      <c r="M13" s="67"/>
      <c r="N13" s="30"/>
      <c r="O13" s="65"/>
      <c r="P13" s="793" t="str">
        <f>'حسابداری پیشرفته 1و2'!D11</f>
        <v>فروش</v>
      </c>
      <c r="Q13" s="793"/>
      <c r="R13" s="40"/>
      <c r="S13" s="40">
        <f>'حسابداری پیشرفته 1و2'!F11</f>
        <v>229</v>
      </c>
      <c r="T13" s="40"/>
      <c r="U13" s="40">
        <f>'حسابداری پیشرفته 1و2'!G11</f>
        <v>30</v>
      </c>
      <c r="V13" s="40"/>
      <c r="W13" s="40"/>
      <c r="X13" s="40"/>
      <c r="Y13" s="40">
        <f>SUM(S13,U13)</f>
        <v>259</v>
      </c>
      <c r="Z13" s="67"/>
      <c r="AA13" s="65"/>
      <c r="AB13" s="757" t="str">
        <f>'حسابداری پیشرفته 1و2'!P15</f>
        <v>خرید</v>
      </c>
      <c r="AC13" s="788"/>
      <c r="AD13" s="95">
        <f>'حسابداری پیشرفته 1و2'!X15</f>
        <v>197</v>
      </c>
      <c r="AE13" s="30"/>
      <c r="AF13" s="30"/>
      <c r="AG13" s="755" t="str">
        <f>'حسابداری پیشرفته 1و2'!P28</f>
        <v>بانک</v>
      </c>
      <c r="AH13" s="756"/>
      <c r="AI13" s="95">
        <f>'حسابداری پیشرفته 1و2'!X28</f>
        <v>50</v>
      </c>
      <c r="AJ13" s="108"/>
      <c r="AK13" s="160"/>
      <c r="AN13" s="159"/>
      <c r="AO13" s="56"/>
      <c r="AP13" s="729" t="s">
        <v>135</v>
      </c>
      <c r="AQ13" s="730"/>
      <c r="AR13" s="730"/>
      <c r="AS13" s="730"/>
      <c r="AT13" s="30">
        <v>-10000</v>
      </c>
      <c r="AU13" s="30">
        <f t="shared" si="0"/>
        <v>-8000</v>
      </c>
      <c r="AV13" s="184">
        <f t="shared" si="1"/>
        <v>-2000</v>
      </c>
      <c r="AW13" s="56"/>
      <c r="AX13" s="56"/>
      <c r="AY13" s="722" t="s">
        <v>226</v>
      </c>
      <c r="AZ13" s="722"/>
      <c r="BA13" s="722"/>
      <c r="BB13" s="196">
        <v>60000</v>
      </c>
      <c r="BC13" s="196">
        <v>14000</v>
      </c>
      <c r="BD13" s="196">
        <v>16000</v>
      </c>
      <c r="BE13" s="196"/>
      <c r="BF13" s="196"/>
      <c r="BG13" s="195">
        <f t="shared" si="2"/>
        <v>90000</v>
      </c>
      <c r="BH13" s="160"/>
    </row>
    <row r="14" spans="2:60" ht="16.5" customHeight="1" thickBot="1">
      <c r="B14" s="159"/>
      <c r="C14" s="65"/>
      <c r="D14" s="828" t="s">
        <v>127</v>
      </c>
      <c r="E14" s="829"/>
      <c r="F14" s="74">
        <v>15</v>
      </c>
      <c r="G14" s="75"/>
      <c r="H14" s="30"/>
      <c r="I14" s="826" t="s">
        <v>127</v>
      </c>
      <c r="J14" s="827"/>
      <c r="K14" s="78">
        <v>15</v>
      </c>
      <c r="L14" s="78"/>
      <c r="M14" s="67"/>
      <c r="N14" s="30"/>
      <c r="O14" s="65"/>
      <c r="P14" s="793" t="str">
        <f>'حسابداری پیشرفته 1و2'!D12</f>
        <v>موجودی کالا 1/1</v>
      </c>
      <c r="Q14" s="793"/>
      <c r="R14" s="40">
        <f>'حسابداری پیشرفته 1و2'!F12</f>
        <v>50</v>
      </c>
      <c r="S14" s="40"/>
      <c r="T14" s="40">
        <f>'حسابداری پیشرفته 1و2'!G12</f>
        <v>0</v>
      </c>
      <c r="U14" s="40"/>
      <c r="V14" s="40"/>
      <c r="W14" s="40"/>
      <c r="X14" s="40">
        <f>SUM(T14,R14)</f>
        <v>50</v>
      </c>
      <c r="Y14" s="40"/>
      <c r="Z14" s="67"/>
      <c r="AA14" s="65"/>
      <c r="AB14" s="757" t="s">
        <v>156</v>
      </c>
      <c r="AC14" s="788"/>
      <c r="AD14" s="95">
        <f>SUM(AD12:AD13)</f>
        <v>247</v>
      </c>
      <c r="AE14" s="30"/>
      <c r="AF14" s="30"/>
      <c r="AG14" s="755" t="str">
        <f>'حسابداری پیشرفته 1و2'!P29</f>
        <v>حسابهای دریافتنی</v>
      </c>
      <c r="AH14" s="756"/>
      <c r="AI14" s="95">
        <f>'حسابداری پیشرفته 1و2'!X29</f>
        <v>60</v>
      </c>
      <c r="AJ14" s="108"/>
      <c r="AK14" s="160"/>
      <c r="AN14" s="159"/>
      <c r="AO14" s="56"/>
      <c r="AP14" s="729" t="s">
        <v>136</v>
      </c>
      <c r="AQ14" s="730"/>
      <c r="AR14" s="730"/>
      <c r="AS14" s="730"/>
      <c r="AT14" s="30">
        <v>-20000</v>
      </c>
      <c r="AU14" s="30">
        <f t="shared" si="0"/>
        <v>-16000</v>
      </c>
      <c r="AV14" s="184">
        <f t="shared" si="1"/>
        <v>-4000</v>
      </c>
      <c r="AW14" s="56"/>
      <c r="AX14" s="56"/>
      <c r="AY14" s="722" t="s">
        <v>227</v>
      </c>
      <c r="AZ14" s="722"/>
      <c r="BA14" s="722"/>
      <c r="BB14" s="196">
        <v>70000</v>
      </c>
      <c r="BC14" s="196">
        <v>10000</v>
      </c>
      <c r="BD14" s="196">
        <v>10000</v>
      </c>
      <c r="BE14" s="196"/>
      <c r="BF14" s="196"/>
      <c r="BG14" s="195">
        <f t="shared" si="2"/>
        <v>90000</v>
      </c>
      <c r="BH14" s="160"/>
    </row>
    <row r="15" spans="2:60" ht="15.75" thickBot="1">
      <c r="B15" s="159"/>
      <c r="C15" s="65"/>
      <c r="D15" s="828" t="s">
        <v>128</v>
      </c>
      <c r="E15" s="829"/>
      <c r="F15" s="74"/>
      <c r="G15" s="75">
        <v>15</v>
      </c>
      <c r="H15" s="30"/>
      <c r="I15" s="811" t="s">
        <v>128</v>
      </c>
      <c r="J15" s="812"/>
      <c r="K15" s="78"/>
      <c r="L15" s="78">
        <v>15</v>
      </c>
      <c r="M15" s="67"/>
      <c r="N15" s="30"/>
      <c r="O15" s="65"/>
      <c r="P15" s="793" t="str">
        <f>'حسابداری پیشرفته 1و2'!D13</f>
        <v>خرید</v>
      </c>
      <c r="Q15" s="793"/>
      <c r="R15" s="40">
        <f>'حسابداری پیشرفته 1و2'!F13</f>
        <v>193</v>
      </c>
      <c r="S15" s="40"/>
      <c r="T15" s="40">
        <f>'حسابداری پیشرفته 1و2'!G13</f>
        <v>4</v>
      </c>
      <c r="U15" s="40"/>
      <c r="V15" s="40"/>
      <c r="W15" s="40"/>
      <c r="X15" s="40">
        <f>SUM(T15,R15)</f>
        <v>197</v>
      </c>
      <c r="Y15" s="40"/>
      <c r="Z15" s="67"/>
      <c r="AA15" s="65"/>
      <c r="AB15" s="757" t="str">
        <f>'حسابداری پیشرفته 1و2'!P18</f>
        <v>موجودی کالا 12/29</v>
      </c>
      <c r="AC15" s="788"/>
      <c r="AD15" s="95">
        <f>'حسابداری پیشرفته 1و2'!Y18</f>
        <v>86</v>
      </c>
      <c r="AE15" s="30"/>
      <c r="AF15" s="30"/>
      <c r="AG15" s="755" t="str">
        <f>'حسابداری پیشرفته 1و2'!P30</f>
        <v>موجودی کالا 12/29</v>
      </c>
      <c r="AH15" s="756"/>
      <c r="AI15" s="95">
        <f>'حسابداری پیشرفته 1و2'!X30</f>
        <v>86</v>
      </c>
      <c r="AJ15" s="108"/>
      <c r="AK15" s="160"/>
      <c r="AN15" s="159"/>
      <c r="AO15" s="56"/>
      <c r="AP15" s="729" t="s">
        <v>206</v>
      </c>
      <c r="AQ15" s="730"/>
      <c r="AR15" s="730"/>
      <c r="AS15" s="730"/>
      <c r="AT15" s="30">
        <v>10000</v>
      </c>
      <c r="AU15" s="30">
        <f t="shared" si="0"/>
        <v>8000</v>
      </c>
      <c r="AV15" s="184">
        <f t="shared" si="1"/>
        <v>2000</v>
      </c>
      <c r="AW15" s="56"/>
      <c r="AX15" s="56"/>
      <c r="AY15" s="722" t="s">
        <v>228</v>
      </c>
      <c r="AZ15" s="722"/>
      <c r="BA15" s="722"/>
      <c r="BB15" s="196">
        <v>120000</v>
      </c>
      <c r="BC15" s="196">
        <v>50000</v>
      </c>
      <c r="BD15" s="196">
        <v>20000</v>
      </c>
      <c r="BE15" s="196"/>
      <c r="BF15" s="196"/>
      <c r="BG15" s="195">
        <f t="shared" si="2"/>
        <v>190000</v>
      </c>
      <c r="BH15" s="160"/>
    </row>
    <row r="16" spans="2:60" ht="15.75" thickBot="1">
      <c r="B16" s="159"/>
      <c r="C16" s="65"/>
      <c r="D16" s="828" t="s">
        <v>129</v>
      </c>
      <c r="E16" s="829"/>
      <c r="F16" s="74">
        <v>80</v>
      </c>
      <c r="G16" s="75">
        <v>6</v>
      </c>
      <c r="H16" s="30"/>
      <c r="I16" s="813"/>
      <c r="J16" s="814"/>
      <c r="K16" s="78"/>
      <c r="L16" s="78"/>
      <c r="M16" s="67"/>
      <c r="N16" s="30"/>
      <c r="O16" s="65"/>
      <c r="P16" s="793" t="str">
        <f>'حسابداری پیشرفته 1و2'!D14</f>
        <v>کالای ارسالی</v>
      </c>
      <c r="Q16" s="793"/>
      <c r="R16" s="40"/>
      <c r="S16" s="40">
        <f>'حسابداری پیشرفته 1و2'!F14</f>
        <v>15</v>
      </c>
      <c r="T16" s="40"/>
      <c r="U16" s="40"/>
      <c r="V16" s="40">
        <f>'حسابداری پیشرفته 1و2'!K14</f>
        <v>15</v>
      </c>
      <c r="W16" s="40"/>
      <c r="X16" s="40"/>
      <c r="Y16" s="40">
        <f>IF(S16=V16,S16-V16,_پ)</f>
        <v>0</v>
      </c>
      <c r="Z16" s="67"/>
      <c r="AA16" s="65"/>
      <c r="AB16" s="757" t="s">
        <v>153</v>
      </c>
      <c r="AC16" s="788"/>
      <c r="AD16" s="118">
        <f>AD14-AD15</f>
        <v>161</v>
      </c>
      <c r="AE16" s="30"/>
      <c r="AF16" s="30"/>
      <c r="AG16" s="755" t="str">
        <f>'حسابداری پیشرفته 1و2'!P31</f>
        <v>زمین</v>
      </c>
      <c r="AH16" s="756"/>
      <c r="AI16" s="95">
        <f>'حسابداری پیشرفته 1و2'!X31</f>
        <v>20</v>
      </c>
      <c r="AJ16" s="108"/>
      <c r="AK16" s="160"/>
      <c r="AN16" s="159"/>
      <c r="AO16" s="56"/>
      <c r="AP16" s="729" t="s">
        <v>207</v>
      </c>
      <c r="AQ16" s="730"/>
      <c r="AR16" s="730"/>
      <c r="AS16" s="730"/>
      <c r="AT16" s="30">
        <v>-10000</v>
      </c>
      <c r="AU16" s="30">
        <f t="shared" si="0"/>
        <v>-8000</v>
      </c>
      <c r="AV16" s="184">
        <f t="shared" si="1"/>
        <v>-2000</v>
      </c>
      <c r="AW16" s="56"/>
      <c r="AX16" s="56"/>
      <c r="AY16" s="722" t="s">
        <v>206</v>
      </c>
      <c r="AZ16" s="722"/>
      <c r="BA16" s="722"/>
      <c r="BB16" s="196">
        <v>200000</v>
      </c>
      <c r="BC16" s="196">
        <v>30000</v>
      </c>
      <c r="BD16" s="196"/>
      <c r="BE16" s="196">
        <v>10000</v>
      </c>
      <c r="BF16" s="196"/>
      <c r="BG16" s="195">
        <f t="shared" si="2"/>
        <v>220000</v>
      </c>
      <c r="BH16" s="160"/>
    </row>
    <row r="17" spans="2:60" ht="16.5" thickBot="1" thickTop="1">
      <c r="B17" s="159"/>
      <c r="C17" s="65"/>
      <c r="D17" s="828" t="s">
        <v>130</v>
      </c>
      <c r="E17" s="829"/>
      <c r="F17" s="74">
        <v>45</v>
      </c>
      <c r="G17" s="75">
        <v>15</v>
      </c>
      <c r="H17" s="30"/>
      <c r="I17" s="30"/>
      <c r="J17" s="30"/>
      <c r="K17" s="30"/>
      <c r="L17" s="30"/>
      <c r="M17" s="67"/>
      <c r="N17" s="30"/>
      <c r="O17" s="65"/>
      <c r="P17" s="793" t="str">
        <f>'حسابداری پیشرفته 1و2'!D15</f>
        <v>کالای دریافتی</v>
      </c>
      <c r="Q17" s="793"/>
      <c r="R17" s="40"/>
      <c r="S17" s="40"/>
      <c r="T17" s="40">
        <f>'حسابداری پیشرفته 1و2'!G15</f>
        <v>15</v>
      </c>
      <c r="U17" s="40"/>
      <c r="V17" s="40"/>
      <c r="W17" s="40">
        <f>'حسابداری پیشرفته 1و2'!L15</f>
        <v>15</v>
      </c>
      <c r="X17" s="40">
        <f>IF(T17=W17,T17-W17,_)</f>
        <v>0</v>
      </c>
      <c r="Y17" s="40"/>
      <c r="Z17" s="67"/>
      <c r="AA17" s="65"/>
      <c r="AB17" s="757" t="str">
        <f>IF(AD17&gt;0,"سود ناخالص",IF(AD17&lt;0,"زیان ناخالص"))</f>
        <v>سود ناخالص</v>
      </c>
      <c r="AC17" s="788"/>
      <c r="AD17" s="95">
        <f>AD10-AD16</f>
        <v>98</v>
      </c>
      <c r="AE17" s="30"/>
      <c r="AF17" s="30"/>
      <c r="AG17" s="755" t="str">
        <f>'حسابداری پیشرفته 1و2'!P32</f>
        <v>ساختمان</v>
      </c>
      <c r="AH17" s="756"/>
      <c r="AI17" s="95">
        <f>'حسابداری پیشرفته 1و2'!X32</f>
        <v>100</v>
      </c>
      <c r="AJ17" s="108"/>
      <c r="AK17" s="160"/>
      <c r="AN17" s="159"/>
      <c r="AO17" s="56"/>
      <c r="AP17" s="729" t="s">
        <v>208</v>
      </c>
      <c r="AQ17" s="730"/>
      <c r="AR17" s="730"/>
      <c r="AS17" s="730"/>
      <c r="AT17" s="50">
        <v>-10000</v>
      </c>
      <c r="AU17" s="50">
        <f t="shared" si="0"/>
        <v>-8000</v>
      </c>
      <c r="AV17" s="185">
        <f t="shared" si="1"/>
        <v>-2000</v>
      </c>
      <c r="AW17" s="56"/>
      <c r="AX17" s="56"/>
      <c r="AY17" s="722" t="s">
        <v>207</v>
      </c>
      <c r="AZ17" s="722"/>
      <c r="BA17" s="722"/>
      <c r="BB17" s="196"/>
      <c r="BC17" s="196"/>
      <c r="BD17" s="196">
        <v>10000</v>
      </c>
      <c r="BE17" s="196"/>
      <c r="BF17" s="196"/>
      <c r="BG17" s="195">
        <f t="shared" si="2"/>
        <v>10000</v>
      </c>
      <c r="BH17" s="160"/>
    </row>
    <row r="18" spans="2:60" ht="15.75" thickTop="1">
      <c r="B18" s="159"/>
      <c r="C18" s="65"/>
      <c r="D18" s="828" t="s">
        <v>131</v>
      </c>
      <c r="E18" s="829"/>
      <c r="F18" s="74">
        <v>83</v>
      </c>
      <c r="G18" s="75"/>
      <c r="H18" s="30"/>
      <c r="I18" s="815" t="s">
        <v>132</v>
      </c>
      <c r="J18" s="816"/>
      <c r="K18" s="816"/>
      <c r="L18" s="817"/>
      <c r="M18" s="67"/>
      <c r="N18" s="30"/>
      <c r="O18" s="65"/>
      <c r="P18" s="793" t="str">
        <f>'حسابداری پیشرفته 1و2'!D16</f>
        <v>موجودی کالا 12/29</v>
      </c>
      <c r="Q18" s="793"/>
      <c r="R18" s="40"/>
      <c r="S18" s="40">
        <f>'حسابداری پیشرفته 1و2'!F16</f>
        <v>80</v>
      </c>
      <c r="T18" s="40"/>
      <c r="U18" s="40">
        <f>'حسابداری پیشرفته 1و2'!G16</f>
        <v>6</v>
      </c>
      <c r="V18" s="40"/>
      <c r="W18" s="40"/>
      <c r="X18" s="40"/>
      <c r="Y18" s="40">
        <f>SUM(U18,S18)</f>
        <v>86</v>
      </c>
      <c r="Z18" s="67"/>
      <c r="AA18" s="65"/>
      <c r="AB18" s="757" t="str">
        <f>'حسابداری پیشرفته 1و2'!P19</f>
        <v>هزینه های عملیاتی</v>
      </c>
      <c r="AC18" s="788"/>
      <c r="AD18" s="119">
        <f>'حسابداری پیشرفته 1و2'!X19</f>
        <v>60</v>
      </c>
      <c r="AE18" s="30"/>
      <c r="AF18" s="30"/>
      <c r="AG18" s="757" t="str">
        <f>'حسابداری پیشرفته 1و2'!P33</f>
        <v>اثاثه</v>
      </c>
      <c r="AH18" s="758"/>
      <c r="AI18" s="95">
        <f>'حسابداری پیشرفته 1و2'!X33</f>
        <v>60</v>
      </c>
      <c r="AJ18" s="108"/>
      <c r="AK18" s="160"/>
      <c r="AN18" s="159"/>
      <c r="AO18" s="56"/>
      <c r="AP18" s="729" t="s">
        <v>209</v>
      </c>
      <c r="AQ18" s="730"/>
      <c r="AR18" s="730"/>
      <c r="AS18" s="730"/>
      <c r="AT18" s="30">
        <f>SUM(AT9:AT17)</f>
        <v>136000</v>
      </c>
      <c r="AU18" s="30">
        <f>SUM(AU9:AU17)</f>
        <v>108800</v>
      </c>
      <c r="AV18" s="184">
        <f>SUM(AV9:AV17)</f>
        <v>27200</v>
      </c>
      <c r="AW18" s="56"/>
      <c r="AX18" s="56"/>
      <c r="AY18" s="722" t="s">
        <v>211</v>
      </c>
      <c r="AZ18" s="722"/>
      <c r="BA18" s="722"/>
      <c r="BB18" s="196"/>
      <c r="BC18" s="196"/>
      <c r="BD18" s="196">
        <v>75000</v>
      </c>
      <c r="BE18" s="196"/>
      <c r="BF18" s="196"/>
      <c r="BG18" s="195">
        <f t="shared" si="2"/>
        <v>75000</v>
      </c>
      <c r="BH18" s="160"/>
    </row>
    <row r="19" spans="2:60" ht="15.75" thickBot="1">
      <c r="B19" s="159"/>
      <c r="C19" s="65"/>
      <c r="D19" s="828" t="s">
        <v>133</v>
      </c>
      <c r="E19" s="829"/>
      <c r="F19" s="74">
        <v>41</v>
      </c>
      <c r="G19" s="75">
        <v>9</v>
      </c>
      <c r="H19" s="30"/>
      <c r="I19" s="818"/>
      <c r="J19" s="819"/>
      <c r="K19" s="819"/>
      <c r="L19" s="820"/>
      <c r="M19" s="67"/>
      <c r="N19" s="30"/>
      <c r="O19" s="65"/>
      <c r="P19" s="793" t="str">
        <f>'حسابداری پیشرفته 1و2'!D17</f>
        <v>هزینه های عملیاتی</v>
      </c>
      <c r="Q19" s="793"/>
      <c r="R19" s="40">
        <f>'حسابداری پیشرفته 1و2'!F17</f>
        <v>45</v>
      </c>
      <c r="S19" s="40"/>
      <c r="T19" s="40">
        <f>'حسابداری پیشرفته 1و2'!G17</f>
        <v>15</v>
      </c>
      <c r="U19" s="40"/>
      <c r="V19" s="40"/>
      <c r="W19" s="40"/>
      <c r="X19" s="40">
        <f>SUM(T19,R19)</f>
        <v>60</v>
      </c>
      <c r="Y19" s="40"/>
      <c r="Z19" s="67"/>
      <c r="AA19" s="65"/>
      <c r="AB19" s="767" t="str">
        <f>IF(AD17&gt;AD18,"سود خالص","زیان خالص")</f>
        <v>سود خالص</v>
      </c>
      <c r="AC19" s="810"/>
      <c r="AD19" s="120">
        <f>AD17-AD18</f>
        <v>38</v>
      </c>
      <c r="AE19" s="30"/>
      <c r="AF19" s="30"/>
      <c r="AG19" s="757" t="s">
        <v>144</v>
      </c>
      <c r="AH19" s="758"/>
      <c r="AI19" s="118">
        <f>SUM(AI13:AI18)</f>
        <v>376</v>
      </c>
      <c r="AJ19" s="108"/>
      <c r="AK19" s="160"/>
      <c r="AN19" s="159"/>
      <c r="AO19" s="56"/>
      <c r="AP19" s="729" t="s">
        <v>203</v>
      </c>
      <c r="AQ19" s="730"/>
      <c r="AR19" s="730"/>
      <c r="AS19" s="730"/>
      <c r="AT19" s="30"/>
      <c r="AU19" s="30"/>
      <c r="AV19" s="184"/>
      <c r="AW19" s="56"/>
      <c r="AX19" s="56"/>
      <c r="AY19" s="722" t="s">
        <v>229</v>
      </c>
      <c r="AZ19" s="722"/>
      <c r="BA19" s="722"/>
      <c r="BB19" s="196">
        <v>153600</v>
      </c>
      <c r="BC19" s="196"/>
      <c r="BD19" s="196"/>
      <c r="BE19" s="196">
        <v>153600</v>
      </c>
      <c r="BF19" s="196"/>
      <c r="BG19" s="195">
        <f t="shared" si="2"/>
        <v>0</v>
      </c>
      <c r="BH19" s="160"/>
    </row>
    <row r="20" spans="2:60" ht="16.5" thickBot="1" thickTop="1">
      <c r="B20" s="159"/>
      <c r="C20" s="65"/>
      <c r="D20" s="828" t="s">
        <v>134</v>
      </c>
      <c r="E20" s="829"/>
      <c r="F20" s="74">
        <v>60</v>
      </c>
      <c r="G20" s="75">
        <v>0</v>
      </c>
      <c r="H20" s="30"/>
      <c r="I20" s="821"/>
      <c r="J20" s="822"/>
      <c r="K20" s="822"/>
      <c r="L20" s="823"/>
      <c r="M20" s="67"/>
      <c r="N20" s="30"/>
      <c r="O20" s="65"/>
      <c r="P20" s="793" t="s">
        <v>59</v>
      </c>
      <c r="Q20" s="793"/>
      <c r="R20" s="40">
        <f>SUM(R14:R15,R19)</f>
        <v>288</v>
      </c>
      <c r="S20" s="40">
        <f>SUM(S13,S16,S18)</f>
        <v>324</v>
      </c>
      <c r="T20" s="40">
        <f>SUM(T14:T15,T17,T19)</f>
        <v>34</v>
      </c>
      <c r="U20" s="40">
        <f>SUM(U13,U18)</f>
        <v>36</v>
      </c>
      <c r="V20" s="40"/>
      <c r="W20" s="40"/>
      <c r="X20" s="40">
        <f>SUM(X14:X19)</f>
        <v>307</v>
      </c>
      <c r="Y20" s="40">
        <f>SUM(Y13:Y19)</f>
        <v>345</v>
      </c>
      <c r="Z20" s="67"/>
      <c r="AA20" s="65"/>
      <c r="AB20" s="30"/>
      <c r="AC20" s="30"/>
      <c r="AD20" s="30"/>
      <c r="AE20" s="30"/>
      <c r="AF20" s="30"/>
      <c r="AG20" s="755" t="s">
        <v>158</v>
      </c>
      <c r="AH20" s="756"/>
      <c r="AI20" s="121"/>
      <c r="AJ20" s="108"/>
      <c r="AK20" s="160"/>
      <c r="AN20" s="159"/>
      <c r="AO20" s="56"/>
      <c r="AP20" s="729" t="s">
        <v>210</v>
      </c>
      <c r="AQ20" s="730"/>
      <c r="AR20" s="730"/>
      <c r="AS20" s="730"/>
      <c r="AT20" s="50">
        <v>61000</v>
      </c>
      <c r="AU20" s="50">
        <f>AU8*AT20</f>
        <v>48800</v>
      </c>
      <c r="AV20" s="185">
        <f>AV8*AT20</f>
        <v>12200</v>
      </c>
      <c r="AW20" s="56"/>
      <c r="AX20" s="56"/>
      <c r="AY20" s="726" t="s">
        <v>59</v>
      </c>
      <c r="AZ20" s="726"/>
      <c r="BA20" s="726"/>
      <c r="BB20" s="197">
        <f>SUM(BB11:BB19)</f>
        <v>737000</v>
      </c>
      <c r="BC20" s="198">
        <f>SUM(BC11:BC19)</f>
        <v>143000</v>
      </c>
      <c r="BD20" s="199"/>
      <c r="BE20" s="200"/>
      <c r="BF20" s="199"/>
      <c r="BG20" s="201">
        <f>SUM(BG11:BG19)</f>
        <v>847400</v>
      </c>
      <c r="BH20" s="160"/>
    </row>
    <row r="21" spans="2:60" ht="16.5" customHeight="1" thickBot="1" thickTop="1">
      <c r="B21" s="159"/>
      <c r="C21" s="65"/>
      <c r="D21" s="828" t="s">
        <v>129</v>
      </c>
      <c r="E21" s="829"/>
      <c r="F21" s="74">
        <v>80</v>
      </c>
      <c r="G21" s="75">
        <v>6</v>
      </c>
      <c r="H21" s="30"/>
      <c r="I21" s="824" t="s">
        <v>114</v>
      </c>
      <c r="J21" s="825"/>
      <c r="K21" s="76" t="s">
        <v>121</v>
      </c>
      <c r="L21" s="77" t="s">
        <v>122</v>
      </c>
      <c r="M21" s="67"/>
      <c r="N21" s="30"/>
      <c r="O21" s="65"/>
      <c r="P21" s="793" t="str">
        <f>IF(R21&gt;0,"سود خالص نقل به انباشته",IF(S21&gt;0,"زیان خالص نقل به انباشته"))</f>
        <v>سود خالص نقل به انباشته</v>
      </c>
      <c r="Q21" s="793"/>
      <c r="R21" s="40">
        <f>IF(S20&gt;R20,S20-R20,0)</f>
        <v>36</v>
      </c>
      <c r="S21" s="40">
        <f>IF(R20&gt;S20,R20-S20,0)</f>
        <v>0</v>
      </c>
      <c r="T21" s="40">
        <f>IF(U20&gt;T20,U20-T20,0)</f>
        <v>2</v>
      </c>
      <c r="U21" s="40">
        <f>IF(T20&gt;U20,T20-U20,0)</f>
        <v>0</v>
      </c>
      <c r="V21" s="40"/>
      <c r="W21" s="40"/>
      <c r="X21" s="40">
        <f>IF(Y20&gt;X20,Y20-X20,0)</f>
        <v>38</v>
      </c>
      <c r="Y21" s="40">
        <f>IF(X20&gt;Y20,X20-Y20,0)</f>
        <v>0</v>
      </c>
      <c r="Z21" s="67"/>
      <c r="AA21" s="65"/>
      <c r="AB21" s="30"/>
      <c r="AC21" s="30"/>
      <c r="AD21" s="30"/>
      <c r="AE21" s="30"/>
      <c r="AF21" s="30"/>
      <c r="AG21" s="755" t="str">
        <f>'حسابداری پیشرفته 1و2'!P35</f>
        <v>حسابهای پرداختنی</v>
      </c>
      <c r="AH21" s="756"/>
      <c r="AI21" s="121"/>
      <c r="AJ21" s="125">
        <f>'حسابداری پیشرفته 1و2'!Y35</f>
        <v>50</v>
      </c>
      <c r="AK21" s="160"/>
      <c r="AN21" s="159"/>
      <c r="AO21" s="56"/>
      <c r="AP21" s="739" t="s">
        <v>211</v>
      </c>
      <c r="AQ21" s="740"/>
      <c r="AR21" s="740"/>
      <c r="AS21" s="740"/>
      <c r="AT21" s="50">
        <f>AT18-AT20</f>
        <v>75000</v>
      </c>
      <c r="AU21" s="50">
        <f>AU18-AU20</f>
        <v>60000</v>
      </c>
      <c r="AV21" s="185">
        <f>AV18-AV20</f>
        <v>15000</v>
      </c>
      <c r="AW21" s="56"/>
      <c r="AX21" s="56"/>
      <c r="AY21" s="722" t="s">
        <v>230</v>
      </c>
      <c r="AZ21" s="722"/>
      <c r="BA21" s="722"/>
      <c r="BB21" s="196">
        <v>60000</v>
      </c>
      <c r="BC21" s="196">
        <v>30000</v>
      </c>
      <c r="BD21" s="196"/>
      <c r="BE21" s="196"/>
      <c r="BF21" s="196"/>
      <c r="BG21" s="196">
        <f>BB21+BC21+BE21-BD21</f>
        <v>90000</v>
      </c>
      <c r="BH21" s="160"/>
    </row>
    <row r="22" spans="2:60" ht="16.5" customHeight="1" thickBot="1">
      <c r="B22" s="159"/>
      <c r="C22" s="65"/>
      <c r="D22" s="828" t="s">
        <v>135</v>
      </c>
      <c r="E22" s="829"/>
      <c r="F22" s="74">
        <v>20</v>
      </c>
      <c r="G22" s="75"/>
      <c r="H22" s="30"/>
      <c r="I22" s="826" t="s">
        <v>116</v>
      </c>
      <c r="J22" s="827"/>
      <c r="K22" s="79">
        <v>20</v>
      </c>
      <c r="L22" s="79"/>
      <c r="M22" s="67"/>
      <c r="N22" s="30"/>
      <c r="O22" s="65"/>
      <c r="P22" s="805" t="s">
        <v>59</v>
      </c>
      <c r="Q22" s="805"/>
      <c r="R22" s="80">
        <f>SUM(R20:R21)</f>
        <v>324</v>
      </c>
      <c r="S22" s="80">
        <f>SUM(S20:S21)</f>
        <v>324</v>
      </c>
      <c r="T22" s="80">
        <f>SUM(T20:T21)</f>
        <v>36</v>
      </c>
      <c r="U22" s="80">
        <f>SUM(U20:U21)</f>
        <v>36</v>
      </c>
      <c r="V22" s="40"/>
      <c r="W22" s="40"/>
      <c r="X22" s="80">
        <f>SUM(X20:X21)</f>
        <v>345</v>
      </c>
      <c r="Y22" s="80">
        <f>SUM(Y20:Y21)</f>
        <v>345</v>
      </c>
      <c r="Z22" s="67"/>
      <c r="AA22" s="65"/>
      <c r="AB22" s="30"/>
      <c r="AC22" s="30"/>
      <c r="AD22" s="30"/>
      <c r="AE22" s="30"/>
      <c r="AF22" s="30"/>
      <c r="AG22" s="755" t="str">
        <f>'حسابداری پیشرفته 1و2'!P36</f>
        <v>حقوق پرداختنی</v>
      </c>
      <c r="AH22" s="756"/>
      <c r="AI22" s="121"/>
      <c r="AJ22" s="125">
        <f>'حسابداری پیشرفته 1و2'!Y36</f>
        <v>5</v>
      </c>
      <c r="AK22" s="160"/>
      <c r="AN22" s="159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722" t="s">
        <v>231</v>
      </c>
      <c r="AZ22" s="722"/>
      <c r="BA22" s="722"/>
      <c r="BB22" s="196"/>
      <c r="BC22" s="196">
        <v>52000</v>
      </c>
      <c r="BD22" s="196">
        <v>10000</v>
      </c>
      <c r="BE22" s="196"/>
      <c r="BF22" s="196"/>
      <c r="BG22" s="196">
        <f>BB22+BC22+BE22-BD22</f>
        <v>42000</v>
      </c>
      <c r="BH22" s="160"/>
    </row>
    <row r="23" spans="2:60" ht="16.5" customHeight="1" thickBot="1" thickTop="1">
      <c r="B23" s="159"/>
      <c r="C23" s="65"/>
      <c r="D23" s="830" t="s">
        <v>136</v>
      </c>
      <c r="E23" s="831"/>
      <c r="F23" s="74">
        <v>100</v>
      </c>
      <c r="G23" s="75"/>
      <c r="H23" s="30"/>
      <c r="I23" s="811" t="s">
        <v>117</v>
      </c>
      <c r="J23" s="812"/>
      <c r="K23" s="79"/>
      <c r="L23" s="79">
        <v>20</v>
      </c>
      <c r="M23" s="67"/>
      <c r="N23" s="30"/>
      <c r="O23" s="65"/>
      <c r="P23" s="805" t="s">
        <v>137</v>
      </c>
      <c r="Q23" s="805"/>
      <c r="R23" s="40"/>
      <c r="S23" s="40"/>
      <c r="T23" s="40"/>
      <c r="U23" s="40"/>
      <c r="V23" s="40"/>
      <c r="W23" s="40"/>
      <c r="X23" s="40"/>
      <c r="Y23" s="40"/>
      <c r="Z23" s="67"/>
      <c r="AA23" s="65"/>
      <c r="AB23" s="782" t="s">
        <v>146</v>
      </c>
      <c r="AC23" s="783"/>
      <c r="AD23" s="784"/>
      <c r="AE23" s="30"/>
      <c r="AF23" s="30"/>
      <c r="AG23" s="755" t="str">
        <f>'حسابداری پیشرفته 1و2'!P38</f>
        <v>سرمایه</v>
      </c>
      <c r="AH23" s="756"/>
      <c r="AI23" s="121"/>
      <c r="AJ23" s="125">
        <f>'حسابداری پیشرفته 1و2'!Y38</f>
        <v>200</v>
      </c>
      <c r="AK23" s="160"/>
      <c r="AN23" s="159"/>
      <c r="AO23" s="56"/>
      <c r="AP23" s="188"/>
      <c r="AQ23" s="182"/>
      <c r="AR23" s="182"/>
      <c r="AS23" s="182"/>
      <c r="AT23" s="182"/>
      <c r="AU23" s="182"/>
      <c r="AV23" s="183"/>
      <c r="AW23" s="56"/>
      <c r="AX23" s="56"/>
      <c r="AY23" s="722" t="s">
        <v>172</v>
      </c>
      <c r="AZ23" s="722"/>
      <c r="BA23" s="722"/>
      <c r="BB23" s="196">
        <v>200000</v>
      </c>
      <c r="BC23" s="196">
        <v>40000</v>
      </c>
      <c r="BD23" s="196">
        <f>0.8*BC23</f>
        <v>32000</v>
      </c>
      <c r="BE23" s="196"/>
      <c r="BF23" s="196">
        <f>0.2*BC23</f>
        <v>8000</v>
      </c>
      <c r="BG23" s="196">
        <f>BB23</f>
        <v>200000</v>
      </c>
      <c r="BH23" s="160"/>
    </row>
    <row r="24" spans="2:60" ht="15.75" thickBot="1">
      <c r="B24" s="159"/>
      <c r="C24" s="65"/>
      <c r="D24" s="828" t="s">
        <v>7</v>
      </c>
      <c r="E24" s="829"/>
      <c r="F24" s="74">
        <v>52</v>
      </c>
      <c r="G24" s="75">
        <v>8</v>
      </c>
      <c r="H24" s="30"/>
      <c r="I24" s="813"/>
      <c r="J24" s="814"/>
      <c r="K24" s="79"/>
      <c r="L24" s="79"/>
      <c r="M24" s="67"/>
      <c r="N24" s="30"/>
      <c r="O24" s="65"/>
      <c r="P24" s="793" t="str">
        <f>'حسابداری پیشرفته 1و2'!D18</f>
        <v>سود انباشته 1/1</v>
      </c>
      <c r="Q24" s="793"/>
      <c r="R24" s="40"/>
      <c r="S24" s="40">
        <f>'حسابداری پیشرفته 1و2'!F18</f>
        <v>83</v>
      </c>
      <c r="T24" s="40"/>
      <c r="U24" s="40"/>
      <c r="V24" s="40"/>
      <c r="W24" s="40"/>
      <c r="X24" s="40"/>
      <c r="Y24" s="40">
        <f>SUM(S24,U24)</f>
        <v>83</v>
      </c>
      <c r="Z24" s="67"/>
      <c r="AA24" s="65"/>
      <c r="AB24" s="785" t="s">
        <v>164</v>
      </c>
      <c r="AC24" s="786"/>
      <c r="AD24" s="787"/>
      <c r="AE24" s="30"/>
      <c r="AF24" s="30"/>
      <c r="AG24" s="755" t="str">
        <f>'حسابداری پیشرفته 1و2'!P39</f>
        <v>سود انباشته</v>
      </c>
      <c r="AH24" s="756"/>
      <c r="AI24" s="129"/>
      <c r="AJ24" s="125">
        <f>'حسابداری پیشرفته 1و2'!Y39</f>
        <v>121</v>
      </c>
      <c r="AK24" s="160"/>
      <c r="AN24" s="159"/>
      <c r="AO24" s="56"/>
      <c r="AP24" s="189" t="s">
        <v>212</v>
      </c>
      <c r="AQ24" s="30"/>
      <c r="AR24" s="30"/>
      <c r="AS24" s="30"/>
      <c r="AT24" s="30"/>
      <c r="AU24" s="30"/>
      <c r="AV24" s="184"/>
      <c r="AW24" s="56"/>
      <c r="AX24" s="56"/>
      <c r="AY24" s="722" t="s">
        <v>232</v>
      </c>
      <c r="AZ24" s="722"/>
      <c r="BA24" s="722"/>
      <c r="BB24" s="196"/>
      <c r="BC24" s="196">
        <v>12000</v>
      </c>
      <c r="BD24" s="196">
        <f>0.8*BC24</f>
        <v>9600</v>
      </c>
      <c r="BE24" s="196"/>
      <c r="BF24" s="196">
        <f>0.2*BC24</f>
        <v>2400</v>
      </c>
      <c r="BG24" s="196">
        <f>BB24</f>
        <v>0</v>
      </c>
      <c r="BH24" s="160"/>
    </row>
    <row r="25" spans="2:60" ht="16.5" thickBot="1" thickTop="1">
      <c r="B25" s="159"/>
      <c r="C25" s="65"/>
      <c r="D25" s="828" t="s">
        <v>117</v>
      </c>
      <c r="E25" s="829"/>
      <c r="F25" s="74">
        <v>20</v>
      </c>
      <c r="G25" s="75"/>
      <c r="H25" s="30"/>
      <c r="I25" s="30"/>
      <c r="J25" s="30"/>
      <c r="K25" s="30"/>
      <c r="L25" s="30"/>
      <c r="M25" s="67"/>
      <c r="N25" s="30"/>
      <c r="O25" s="65"/>
      <c r="P25" s="793" t="str">
        <f>IF(P21="سود خالص نقل به انباشته","سود خالص نقل از بالا",IF(P21="زیان خالص نقل به انباشته","زیان خالص نقل از بالا"))</f>
        <v>سود خالص نقل از بالا</v>
      </c>
      <c r="Q25" s="793"/>
      <c r="R25" s="40">
        <f>IF(S21&gt;0,S21,0)</f>
        <v>0</v>
      </c>
      <c r="S25" s="40">
        <f>IF(R21&gt;0,R21,0)</f>
        <v>36</v>
      </c>
      <c r="T25" s="40">
        <f>IF(U21&gt;0,U21,0)</f>
        <v>0</v>
      </c>
      <c r="U25" s="40">
        <f>IF(T21&gt;0,T21,0)</f>
        <v>2</v>
      </c>
      <c r="V25" s="40"/>
      <c r="W25" s="40"/>
      <c r="X25" s="40"/>
      <c r="Y25" s="40">
        <f>SUM(S25,U25)</f>
        <v>38</v>
      </c>
      <c r="Z25" s="67"/>
      <c r="AA25" s="65"/>
      <c r="AB25" s="774" t="s">
        <v>150</v>
      </c>
      <c r="AC25" s="775"/>
      <c r="AD25" s="776"/>
      <c r="AE25" s="30"/>
      <c r="AF25" s="30"/>
      <c r="AG25" s="767" t="s">
        <v>144</v>
      </c>
      <c r="AH25" s="768"/>
      <c r="AI25" s="130"/>
      <c r="AJ25" s="131">
        <f>SUM(AJ21:AJ24)</f>
        <v>376</v>
      </c>
      <c r="AK25" s="160"/>
      <c r="AN25" s="159"/>
      <c r="AO25" s="56"/>
      <c r="AP25" s="190" t="s">
        <v>213</v>
      </c>
      <c r="AQ25" s="191"/>
      <c r="AR25" s="191"/>
      <c r="AS25" s="191"/>
      <c r="AT25" s="30"/>
      <c r="AU25" s="30">
        <v>192000</v>
      </c>
      <c r="AV25" s="184"/>
      <c r="AW25" s="56"/>
      <c r="AX25" s="56"/>
      <c r="AY25" s="722" t="s">
        <v>143</v>
      </c>
      <c r="AZ25" s="722"/>
      <c r="BA25" s="722"/>
      <c r="BB25" s="196">
        <v>477000</v>
      </c>
      <c r="BC25" s="196">
        <v>9000</v>
      </c>
      <c r="BD25" s="196">
        <f>0.8*BC25</f>
        <v>7200</v>
      </c>
      <c r="BE25" s="196"/>
      <c r="BF25" s="196">
        <f>0.2*BC25</f>
        <v>1800</v>
      </c>
      <c r="BG25" s="196">
        <f>BB25</f>
        <v>477000</v>
      </c>
      <c r="BH25" s="160"/>
    </row>
    <row r="26" spans="2:60" ht="15.75" thickTop="1">
      <c r="B26" s="159"/>
      <c r="C26" s="65"/>
      <c r="D26" s="828" t="s">
        <v>138</v>
      </c>
      <c r="E26" s="829"/>
      <c r="F26" s="74">
        <v>50</v>
      </c>
      <c r="G26" s="75"/>
      <c r="H26" s="30"/>
      <c r="I26" s="30"/>
      <c r="J26" s="30"/>
      <c r="K26" s="30"/>
      <c r="L26" s="30"/>
      <c r="M26" s="67"/>
      <c r="N26" s="30"/>
      <c r="O26" s="65"/>
      <c r="P26" s="805" t="str">
        <f>IF(S26&gt;0,"سود انباشته نقل به ترازنامه","زیان انباشته نقل به ترازنامه")</f>
        <v>سود انباشته نقل به ترازنامه</v>
      </c>
      <c r="Q26" s="805"/>
      <c r="R26" s="40">
        <f>IF(R25&gt;S24,R25-S24,0)</f>
        <v>0</v>
      </c>
      <c r="S26" s="80">
        <f>IF(S25&gt;0,S24+S25,IF(R25&lt;S24,S24-R25,0))</f>
        <v>119</v>
      </c>
      <c r="T26" s="40">
        <f>IF(T25&gt;U24,T25-U24,0)</f>
        <v>0</v>
      </c>
      <c r="U26" s="80">
        <f>IF(U25&gt;0,U24+U25,IF(T25&lt;U24,U24-T25,0))</f>
        <v>2</v>
      </c>
      <c r="V26" s="40"/>
      <c r="W26" s="40"/>
      <c r="X26" s="40"/>
      <c r="Y26" s="80">
        <f>SUM(Y24:Y25)</f>
        <v>121</v>
      </c>
      <c r="Z26" s="81"/>
      <c r="AA26" s="65"/>
      <c r="AB26" s="777" t="str">
        <f>'حسابداری پیشرفته 1و2'!P24</f>
        <v>سود انباشته 1/1</v>
      </c>
      <c r="AC26" s="778"/>
      <c r="AD26" s="134">
        <f>'حسابداری پیشرفته 1و2'!Y24</f>
        <v>83</v>
      </c>
      <c r="AE26" s="30"/>
      <c r="AF26" s="30"/>
      <c r="AG26" s="30"/>
      <c r="AH26" s="30"/>
      <c r="AI26" s="30"/>
      <c r="AJ26" s="67"/>
      <c r="AK26" s="160"/>
      <c r="AN26" s="159"/>
      <c r="AO26" s="56"/>
      <c r="AP26" s="189" t="s">
        <v>86</v>
      </c>
      <c r="AQ26" s="30"/>
      <c r="AR26" s="30"/>
      <c r="AS26" s="30"/>
      <c r="AT26" s="30"/>
      <c r="AU26" s="30"/>
      <c r="AV26" s="184"/>
      <c r="AW26" s="56"/>
      <c r="AX26" s="56"/>
      <c r="AY26" s="722" t="s">
        <v>233</v>
      </c>
      <c r="AZ26" s="722"/>
      <c r="BA26" s="722"/>
      <c r="BB26" s="196"/>
      <c r="BC26" s="196"/>
      <c r="BD26" s="196"/>
      <c r="BE26" s="196">
        <v>26200</v>
      </c>
      <c r="BF26" s="196">
        <f>BE26</f>
        <v>26200</v>
      </c>
      <c r="BG26" s="196"/>
      <c r="BH26" s="160"/>
    </row>
    <row r="27" spans="2:60" ht="15.75" thickBot="1">
      <c r="B27" s="159"/>
      <c r="C27" s="65"/>
      <c r="D27" s="828" t="s">
        <v>139</v>
      </c>
      <c r="E27" s="829"/>
      <c r="F27" s="74">
        <v>4</v>
      </c>
      <c r="G27" s="75">
        <v>1</v>
      </c>
      <c r="H27" s="30"/>
      <c r="I27" s="30"/>
      <c r="J27" s="30"/>
      <c r="K27" s="30"/>
      <c r="L27" s="30"/>
      <c r="M27" s="67"/>
      <c r="N27" s="30"/>
      <c r="O27" s="65"/>
      <c r="P27" s="805" t="s">
        <v>140</v>
      </c>
      <c r="Q27" s="805"/>
      <c r="R27" s="40"/>
      <c r="S27" s="40"/>
      <c r="T27" s="40"/>
      <c r="U27" s="40"/>
      <c r="V27" s="40"/>
      <c r="W27" s="40"/>
      <c r="X27" s="40"/>
      <c r="Y27" s="40"/>
      <c r="Z27" s="67"/>
      <c r="AA27" s="65"/>
      <c r="AB27" s="779" t="str">
        <f>'حسابداری پیشرفته 1و2'!AB19</f>
        <v>سود خالص</v>
      </c>
      <c r="AC27" s="619"/>
      <c r="AD27" s="136">
        <f>'حسابداری پیشرفته 1و2'!Y25</f>
        <v>38</v>
      </c>
      <c r="AE27" s="30"/>
      <c r="AF27" s="30"/>
      <c r="AG27" s="30"/>
      <c r="AH27" s="30"/>
      <c r="AI27" s="30"/>
      <c r="AJ27" s="67"/>
      <c r="AK27" s="160"/>
      <c r="AN27" s="159"/>
      <c r="AO27" s="56"/>
      <c r="AP27" s="682" t="s">
        <v>214</v>
      </c>
      <c r="AQ27" s="695"/>
      <c r="AR27" s="695"/>
      <c r="AS27" s="695"/>
      <c r="AT27" s="695"/>
      <c r="AU27" s="50">
        <v>117000</v>
      </c>
      <c r="AV27" s="184"/>
      <c r="AW27" s="56"/>
      <c r="AX27" s="56"/>
      <c r="AY27" s="722" t="s">
        <v>234</v>
      </c>
      <c r="AZ27" s="722"/>
      <c r="BA27" s="722"/>
      <c r="BB27" s="196"/>
      <c r="BC27" s="196"/>
      <c r="BD27" s="196"/>
      <c r="BE27" s="196"/>
      <c r="BF27" s="202">
        <f>SUM(BF23:BF26)</f>
        <v>38400</v>
      </c>
      <c r="BG27" s="196">
        <f>BF27</f>
        <v>38400</v>
      </c>
      <c r="BH27" s="160"/>
    </row>
    <row r="28" spans="2:60" ht="16.5" thickBot="1" thickTop="1">
      <c r="B28" s="159"/>
      <c r="C28" s="65"/>
      <c r="D28" s="828" t="s">
        <v>141</v>
      </c>
      <c r="E28" s="829"/>
      <c r="F28" s="74"/>
      <c r="G28" s="75">
        <v>20</v>
      </c>
      <c r="H28" s="30"/>
      <c r="I28" s="30"/>
      <c r="J28" s="30"/>
      <c r="K28" s="30"/>
      <c r="L28" s="30"/>
      <c r="M28" s="67"/>
      <c r="N28" s="30"/>
      <c r="O28" s="65"/>
      <c r="P28" s="793" t="str">
        <f>'حسابداری پیشرفته 1و2'!D19</f>
        <v>بانک</v>
      </c>
      <c r="Q28" s="793"/>
      <c r="R28" s="40">
        <f>'حسابداری پیشرفته 1و2'!F19</f>
        <v>41</v>
      </c>
      <c r="S28" s="40"/>
      <c r="T28" s="40">
        <f>'حسابداری پیشرفته 1و2'!G19</f>
        <v>9</v>
      </c>
      <c r="U28" s="40"/>
      <c r="V28" s="40"/>
      <c r="W28" s="40"/>
      <c r="X28" s="40">
        <f aca="true" t="shared" si="3" ref="X28:X33">SUM(T28,R28)</f>
        <v>50</v>
      </c>
      <c r="Y28" s="40"/>
      <c r="Z28" s="67"/>
      <c r="AA28" s="65"/>
      <c r="AB28" s="780" t="s">
        <v>170</v>
      </c>
      <c r="AC28" s="781"/>
      <c r="AD28" s="137">
        <f>'حسابداری پیشرفته 1و2'!Y26</f>
        <v>121</v>
      </c>
      <c r="AE28" s="30"/>
      <c r="AF28" s="30"/>
      <c r="AG28" s="30"/>
      <c r="AH28" s="30"/>
      <c r="AI28" s="30"/>
      <c r="AJ28" s="67"/>
      <c r="AK28" s="160"/>
      <c r="AN28" s="159"/>
      <c r="AO28" s="56"/>
      <c r="AP28" s="189"/>
      <c r="AQ28" s="30"/>
      <c r="AR28" s="30"/>
      <c r="AS28" s="30"/>
      <c r="AT28" s="30"/>
      <c r="AU28" s="52">
        <f>AU25-AU27</f>
        <v>75000</v>
      </c>
      <c r="AV28" s="184"/>
      <c r="AW28" s="56"/>
      <c r="AX28" s="56"/>
      <c r="AY28" s="725" t="s">
        <v>59</v>
      </c>
      <c r="AZ28" s="725"/>
      <c r="BA28" s="725"/>
      <c r="BB28" s="197">
        <f>SUM(BB21:BB27)</f>
        <v>737000</v>
      </c>
      <c r="BC28" s="197">
        <f>SUM(BC21:BC27)</f>
        <v>143000</v>
      </c>
      <c r="BD28" s="197">
        <f>SUM(BD11:BD27)</f>
        <v>189800</v>
      </c>
      <c r="BE28" s="197">
        <f>SUM(BE11:BE27)</f>
        <v>189800</v>
      </c>
      <c r="BF28" s="203"/>
      <c r="BG28" s="197">
        <f>SUM(BG21:BG27)</f>
        <v>847400</v>
      </c>
      <c r="BH28" s="160"/>
    </row>
    <row r="29" spans="2:60" ht="16.5" thickBot="1" thickTop="1">
      <c r="B29" s="159"/>
      <c r="C29" s="65"/>
      <c r="D29" s="841" t="s">
        <v>142</v>
      </c>
      <c r="E29" s="842"/>
      <c r="F29" s="82">
        <v>200</v>
      </c>
      <c r="G29" s="83"/>
      <c r="H29" s="30"/>
      <c r="I29" s="30"/>
      <c r="J29" s="30"/>
      <c r="K29" s="30"/>
      <c r="L29" s="30"/>
      <c r="M29" s="67"/>
      <c r="N29" s="30"/>
      <c r="O29" s="65"/>
      <c r="P29" s="793" t="str">
        <f>'حسابداری پیشرفته 1و2'!D20</f>
        <v>حسابهای دریافتنی</v>
      </c>
      <c r="Q29" s="793"/>
      <c r="R29" s="40">
        <f>'حسابداری پیشرفته 1و2'!F20</f>
        <v>60</v>
      </c>
      <c r="S29" s="40"/>
      <c r="T29" s="40">
        <f>'حسابداری پیشرفته 1و2'!G20</f>
        <v>0</v>
      </c>
      <c r="U29" s="40"/>
      <c r="V29" s="40"/>
      <c r="W29" s="40"/>
      <c r="X29" s="40">
        <f t="shared" si="3"/>
        <v>60</v>
      </c>
      <c r="Y29" s="40"/>
      <c r="Z29" s="67"/>
      <c r="AA29" s="65"/>
      <c r="AB29" s="154"/>
      <c r="AC29" s="154"/>
      <c r="AD29" s="155"/>
      <c r="AE29" s="30"/>
      <c r="AF29" s="30"/>
      <c r="AG29" s="30"/>
      <c r="AH29" s="30"/>
      <c r="AI29" s="30"/>
      <c r="AJ29" s="67"/>
      <c r="AK29" s="160"/>
      <c r="AN29" s="159"/>
      <c r="AO29" s="56"/>
      <c r="AP29" s="189"/>
      <c r="AQ29" s="30"/>
      <c r="AR29" s="30"/>
      <c r="AS29" s="30"/>
      <c r="AT29" s="30"/>
      <c r="AU29" s="30"/>
      <c r="AV29" s="184"/>
      <c r="AW29" s="56"/>
      <c r="AX29" s="56"/>
      <c r="AY29" s="205"/>
      <c r="AZ29" s="205"/>
      <c r="BA29" s="205"/>
      <c r="BB29" s="205"/>
      <c r="BC29" s="205"/>
      <c r="BD29" s="205"/>
      <c r="BE29" s="205"/>
      <c r="BF29" s="205"/>
      <c r="BG29" s="205"/>
      <c r="BH29" s="160"/>
    </row>
    <row r="30" spans="2:60" ht="13.5" customHeight="1">
      <c r="B30" s="159"/>
      <c r="C30" s="65"/>
      <c r="D30" s="151"/>
      <c r="E30" s="151"/>
      <c r="F30" s="152"/>
      <c r="G30" s="152"/>
      <c r="H30" s="30"/>
      <c r="I30" s="30"/>
      <c r="J30" s="30"/>
      <c r="K30" s="30"/>
      <c r="L30" s="30"/>
      <c r="M30" s="67"/>
      <c r="N30" s="30"/>
      <c r="O30" s="65"/>
      <c r="P30" s="793" t="str">
        <f>'حسابداری پیشرفته 1و2'!D21</f>
        <v>موجودی کالا 12/29</v>
      </c>
      <c r="Q30" s="793"/>
      <c r="R30" s="40">
        <f>'حسابداری پیشرفته 1و2'!F21</f>
        <v>80</v>
      </c>
      <c r="S30" s="40"/>
      <c r="T30" s="40">
        <f>'حسابداری پیشرفته 1و2'!G21</f>
        <v>6</v>
      </c>
      <c r="U30" s="40"/>
      <c r="V30" s="40"/>
      <c r="W30" s="40"/>
      <c r="X30" s="40">
        <f t="shared" si="3"/>
        <v>86</v>
      </c>
      <c r="Y30" s="40"/>
      <c r="Z30" s="67"/>
      <c r="AA30" s="65"/>
      <c r="AB30" s="154"/>
      <c r="AC30" s="154"/>
      <c r="AD30" s="155"/>
      <c r="AE30" s="30"/>
      <c r="AF30" s="30"/>
      <c r="AG30" s="30"/>
      <c r="AH30" s="30"/>
      <c r="AI30" s="30"/>
      <c r="AJ30" s="67"/>
      <c r="AK30" s="160"/>
      <c r="AN30" s="159"/>
      <c r="AO30" s="56"/>
      <c r="AP30" s="192"/>
      <c r="AQ30" s="50"/>
      <c r="AR30" s="50"/>
      <c r="AS30" s="50"/>
      <c r="AT30" s="50"/>
      <c r="AU30" s="50"/>
      <c r="AV30" s="185"/>
      <c r="AW30" s="56"/>
      <c r="AX30" s="56"/>
      <c r="AY30" s="205"/>
      <c r="AZ30" s="205"/>
      <c r="BA30" s="205"/>
      <c r="BB30" s="205"/>
      <c r="BC30" s="205"/>
      <c r="BD30" s="205"/>
      <c r="BE30" s="205"/>
      <c r="BF30" s="205"/>
      <c r="BG30" s="205"/>
      <c r="BH30" s="160"/>
    </row>
    <row r="31" spans="2:60" ht="15" customHeight="1" thickBot="1">
      <c r="B31" s="159"/>
      <c r="C31" s="65"/>
      <c r="D31" s="151"/>
      <c r="E31" s="151"/>
      <c r="F31" s="152"/>
      <c r="G31" s="152"/>
      <c r="H31" s="30"/>
      <c r="I31" s="30"/>
      <c r="J31" s="30"/>
      <c r="K31" s="30"/>
      <c r="L31" s="30"/>
      <c r="M31" s="67"/>
      <c r="N31" s="30"/>
      <c r="O31" s="65"/>
      <c r="P31" s="793" t="str">
        <f>'حسابداری پیشرفته 1و2'!D22</f>
        <v>زمین</v>
      </c>
      <c r="Q31" s="793"/>
      <c r="R31" s="40">
        <f>'حسابداری پیشرفته 1و2'!F22</f>
        <v>20</v>
      </c>
      <c r="S31" s="40"/>
      <c r="T31" s="40">
        <f>'حسابداری پیشرفته 1و2'!G22</f>
        <v>0</v>
      </c>
      <c r="U31" s="40"/>
      <c r="V31" s="40"/>
      <c r="W31" s="40"/>
      <c r="X31" s="40">
        <f t="shared" si="3"/>
        <v>20</v>
      </c>
      <c r="Y31" s="40"/>
      <c r="Z31" s="67"/>
      <c r="AA31" s="65"/>
      <c r="AB31" s="154"/>
      <c r="AC31" s="154"/>
      <c r="AD31" s="155"/>
      <c r="AE31" s="30"/>
      <c r="AF31" s="30"/>
      <c r="AG31" s="30"/>
      <c r="AH31" s="30"/>
      <c r="AI31" s="30"/>
      <c r="AJ31" s="67"/>
      <c r="AK31" s="160"/>
      <c r="AN31" s="177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206"/>
      <c r="AZ31" s="206"/>
      <c r="BA31" s="206"/>
      <c r="BB31" s="206"/>
      <c r="BC31" s="206"/>
      <c r="BD31" s="206"/>
      <c r="BE31" s="206"/>
      <c r="BF31" s="206"/>
      <c r="BG31" s="206"/>
      <c r="BH31" s="179"/>
    </row>
    <row r="32" spans="2:37" ht="13.5" customHeight="1">
      <c r="B32" s="159"/>
      <c r="C32" s="65"/>
      <c r="D32" s="151"/>
      <c r="E32" s="151"/>
      <c r="F32" s="152"/>
      <c r="G32" s="152"/>
      <c r="H32" s="30"/>
      <c r="I32" s="30"/>
      <c r="J32" s="30"/>
      <c r="K32" s="30"/>
      <c r="L32" s="30"/>
      <c r="M32" s="67"/>
      <c r="N32" s="30"/>
      <c r="O32" s="65"/>
      <c r="P32" s="793" t="str">
        <f>'حسابداری پیشرفته 1و2'!D23</f>
        <v>ساختمان</v>
      </c>
      <c r="Q32" s="793"/>
      <c r="R32" s="40">
        <f>'حسابداری پیشرفته 1و2'!F23</f>
        <v>100</v>
      </c>
      <c r="S32" s="40"/>
      <c r="T32" s="40">
        <f>'حسابداری پیشرفته 1و2'!G23</f>
        <v>0</v>
      </c>
      <c r="U32" s="40"/>
      <c r="V32" s="40"/>
      <c r="W32" s="40"/>
      <c r="X32" s="40">
        <f t="shared" si="3"/>
        <v>100</v>
      </c>
      <c r="Y32" s="40"/>
      <c r="Z32" s="67"/>
      <c r="AA32" s="65"/>
      <c r="AB32" s="154"/>
      <c r="AC32" s="154"/>
      <c r="AD32" s="155"/>
      <c r="AE32" s="30"/>
      <c r="AF32" s="30"/>
      <c r="AG32" s="30"/>
      <c r="AH32" s="30"/>
      <c r="AI32" s="30"/>
      <c r="AJ32" s="67"/>
      <c r="AK32" s="160"/>
    </row>
    <row r="33" spans="2:37" ht="15">
      <c r="B33" s="159"/>
      <c r="C33" s="65"/>
      <c r="D33" s="151"/>
      <c r="E33" s="151"/>
      <c r="F33" s="152"/>
      <c r="G33" s="152"/>
      <c r="H33" s="30"/>
      <c r="I33" s="30"/>
      <c r="J33" s="30"/>
      <c r="K33" s="30"/>
      <c r="L33" s="30"/>
      <c r="M33" s="67"/>
      <c r="N33" s="30"/>
      <c r="O33" s="65"/>
      <c r="P33" s="793" t="str">
        <f>'حسابداری پیشرفته 1و2'!D24</f>
        <v>اثاثه</v>
      </c>
      <c r="Q33" s="793"/>
      <c r="R33" s="40">
        <f>'حسابداری پیشرفته 1و2'!F24</f>
        <v>52</v>
      </c>
      <c r="S33" s="40"/>
      <c r="T33" s="40">
        <f>'حسابداری پیشرفته 1و2'!G24</f>
        <v>8</v>
      </c>
      <c r="U33" s="40"/>
      <c r="V33" s="40"/>
      <c r="W33" s="40"/>
      <c r="X33" s="40">
        <f t="shared" si="3"/>
        <v>60</v>
      </c>
      <c r="Y33" s="40"/>
      <c r="Z33" s="67"/>
      <c r="AA33" s="65"/>
      <c r="AB33" s="154"/>
      <c r="AC33" s="154"/>
      <c r="AD33" s="155"/>
      <c r="AE33" s="30"/>
      <c r="AF33" s="30"/>
      <c r="AG33" s="30"/>
      <c r="AH33" s="30"/>
      <c r="AI33" s="30"/>
      <c r="AJ33" s="67"/>
      <c r="AK33" s="160"/>
    </row>
    <row r="34" spans="2:37" ht="15.75" thickBot="1">
      <c r="B34" s="159"/>
      <c r="C34" s="65"/>
      <c r="D34" s="151"/>
      <c r="E34" s="151"/>
      <c r="F34" s="152"/>
      <c r="G34" s="152"/>
      <c r="H34" s="30"/>
      <c r="I34" s="30"/>
      <c r="J34" s="30"/>
      <c r="K34" s="30"/>
      <c r="L34" s="30"/>
      <c r="M34" s="67"/>
      <c r="N34" s="30"/>
      <c r="O34" s="65"/>
      <c r="P34" s="793" t="str">
        <f>'حسابداری پیشرفته 1و2'!D25</f>
        <v>شعبه</v>
      </c>
      <c r="Q34" s="793"/>
      <c r="R34" s="40">
        <f>'حسابداری پیشرفته 1و2'!F25</f>
        <v>20</v>
      </c>
      <c r="S34" s="40"/>
      <c r="T34" s="40"/>
      <c r="U34" s="40"/>
      <c r="V34" s="40"/>
      <c r="W34" s="40">
        <f>'حسابداری پیشرفته 1و2'!L23</f>
        <v>20</v>
      </c>
      <c r="X34" s="40">
        <f>IF(R34=W34,R34-W34,R34-W34)</f>
        <v>0</v>
      </c>
      <c r="Y34" s="40"/>
      <c r="Z34" s="67"/>
      <c r="AA34" s="65"/>
      <c r="AB34" s="154"/>
      <c r="AC34" s="154"/>
      <c r="AD34" s="155"/>
      <c r="AE34" s="30"/>
      <c r="AF34" s="30"/>
      <c r="AG34" s="30"/>
      <c r="AH34" s="30"/>
      <c r="AI34" s="30"/>
      <c r="AJ34" s="67"/>
      <c r="AK34" s="160"/>
    </row>
    <row r="35" spans="2:62" ht="14.25">
      <c r="B35" s="176"/>
      <c r="C35" s="65"/>
      <c r="D35" s="151"/>
      <c r="E35" s="151"/>
      <c r="F35" s="152"/>
      <c r="G35" s="152"/>
      <c r="H35" s="30"/>
      <c r="I35" s="30"/>
      <c r="J35" s="30"/>
      <c r="K35" s="30"/>
      <c r="L35" s="30"/>
      <c r="M35" s="67"/>
      <c r="N35" s="30"/>
      <c r="O35" s="65"/>
      <c r="P35" s="793" t="str">
        <f>'حسابداری پیشرفته 1و2'!D26</f>
        <v>حسابهای پرداختنی</v>
      </c>
      <c r="Q35" s="793"/>
      <c r="R35" s="40"/>
      <c r="S35" s="40">
        <f>'حسابداری پیشرفته 1و2'!F26</f>
        <v>50</v>
      </c>
      <c r="T35" s="40"/>
      <c r="U35" s="40">
        <f>'حسابداری پیشرفته 1و2'!G26</f>
        <v>0</v>
      </c>
      <c r="V35" s="40"/>
      <c r="W35" s="40"/>
      <c r="X35" s="40"/>
      <c r="Y35" s="40">
        <f>SUM(U35,S35)</f>
        <v>50</v>
      </c>
      <c r="Z35" s="67"/>
      <c r="AA35" s="65"/>
      <c r="AB35" s="154"/>
      <c r="AC35" s="154"/>
      <c r="AD35" s="155"/>
      <c r="AE35" s="30"/>
      <c r="AF35" s="30"/>
      <c r="AG35" s="30"/>
      <c r="AH35" s="30"/>
      <c r="AI35" s="30"/>
      <c r="AJ35" s="67"/>
      <c r="AK35" s="160"/>
      <c r="AN35" s="174"/>
      <c r="AO35" s="727" t="s">
        <v>235</v>
      </c>
      <c r="AP35" s="72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8"/>
    </row>
    <row r="36" spans="2:62" ht="14.25">
      <c r="B36" s="176"/>
      <c r="C36" s="65"/>
      <c r="D36" s="151"/>
      <c r="E36" s="151"/>
      <c r="F36" s="152"/>
      <c r="G36" s="152"/>
      <c r="H36" s="30"/>
      <c r="I36" s="30"/>
      <c r="J36" s="30"/>
      <c r="K36" s="30"/>
      <c r="L36" s="30"/>
      <c r="M36" s="67"/>
      <c r="N36" s="30"/>
      <c r="O36" s="65"/>
      <c r="P36" s="793" t="str">
        <f>'حسابداری پیشرفته 1و2'!D27</f>
        <v>حقوق پرداختنی</v>
      </c>
      <c r="Q36" s="793"/>
      <c r="R36" s="40"/>
      <c r="S36" s="40">
        <f>'حسابداری پیشرفته 1و2'!F27</f>
        <v>4</v>
      </c>
      <c r="T36" s="40"/>
      <c r="U36" s="40">
        <f>'حسابداری پیشرفته 1و2'!G27</f>
        <v>1</v>
      </c>
      <c r="V36" s="40"/>
      <c r="W36" s="40"/>
      <c r="X36" s="40"/>
      <c r="Y36" s="40">
        <f>SUM(U36,S36)</f>
        <v>5</v>
      </c>
      <c r="Z36" s="67"/>
      <c r="AA36" s="65"/>
      <c r="AB36" s="154"/>
      <c r="AC36" s="154"/>
      <c r="AD36" s="155"/>
      <c r="AE36" s="30"/>
      <c r="AF36" s="30"/>
      <c r="AG36" s="30"/>
      <c r="AH36" s="30"/>
      <c r="AI36" s="30"/>
      <c r="AJ36" s="67"/>
      <c r="AK36" s="160"/>
      <c r="AN36" s="159"/>
      <c r="AO36" s="728"/>
      <c r="AP36" s="728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160"/>
    </row>
    <row r="37" spans="2:62" ht="14.25">
      <c r="B37" s="159"/>
      <c r="C37" s="65"/>
      <c r="D37" s="151"/>
      <c r="E37" s="151"/>
      <c r="F37" s="152"/>
      <c r="G37" s="152"/>
      <c r="H37" s="30"/>
      <c r="I37" s="30"/>
      <c r="J37" s="30"/>
      <c r="K37" s="30"/>
      <c r="L37" s="30"/>
      <c r="M37" s="67"/>
      <c r="N37" s="30"/>
      <c r="O37" s="65"/>
      <c r="P37" s="793" t="str">
        <f>'حسابداری پیشرفته 1و2'!D28</f>
        <v>اداره مرکزی</v>
      </c>
      <c r="Q37" s="793"/>
      <c r="R37" s="40"/>
      <c r="S37" s="40"/>
      <c r="T37" s="40"/>
      <c r="U37" s="40">
        <f>'حسابداری پیشرفته 1و2'!G28</f>
        <v>20</v>
      </c>
      <c r="V37" s="40">
        <f>'حسابداری پیشرفته 1و2'!K22</f>
        <v>20</v>
      </c>
      <c r="W37" s="40"/>
      <c r="X37" s="40"/>
      <c r="Y37" s="40">
        <f>IF(U37=V37,U37-V37,U37-V37)</f>
        <v>0</v>
      </c>
      <c r="Z37" s="67"/>
      <c r="AA37" s="65"/>
      <c r="AB37" s="154"/>
      <c r="AC37" s="154"/>
      <c r="AD37" s="155"/>
      <c r="AE37" s="30"/>
      <c r="AF37" s="30"/>
      <c r="AG37" s="30"/>
      <c r="AH37" s="30"/>
      <c r="AI37" s="30"/>
      <c r="AJ37" s="67"/>
      <c r="AK37" s="160"/>
      <c r="AN37" s="159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160"/>
    </row>
    <row r="38" spans="2:62" ht="14.25">
      <c r="B38" s="159"/>
      <c r="C38" s="65"/>
      <c r="D38" s="151"/>
      <c r="E38" s="151"/>
      <c r="F38" s="152"/>
      <c r="G38" s="152"/>
      <c r="H38" s="30"/>
      <c r="I38" s="30"/>
      <c r="J38" s="30"/>
      <c r="K38" s="30"/>
      <c r="L38" s="30"/>
      <c r="M38" s="67"/>
      <c r="N38" s="30"/>
      <c r="O38" s="65"/>
      <c r="P38" s="793" t="str">
        <f>'حسابداری پیشرفته 1و2'!D29</f>
        <v>سرمایه</v>
      </c>
      <c r="Q38" s="793"/>
      <c r="R38" s="40"/>
      <c r="S38" s="40">
        <f>'حسابداری پیشرفته 1و2'!F29</f>
        <v>200</v>
      </c>
      <c r="T38" s="40"/>
      <c r="U38" s="40">
        <f>'حسابداری پیشرفته 1و2'!G29</f>
        <v>0</v>
      </c>
      <c r="V38" s="40"/>
      <c r="W38" s="40"/>
      <c r="X38" s="40"/>
      <c r="Y38" s="40">
        <f>SUM(U38,S38)</f>
        <v>200</v>
      </c>
      <c r="Z38" s="67"/>
      <c r="AA38" s="65"/>
      <c r="AB38" s="154"/>
      <c r="AC38" s="154"/>
      <c r="AD38" s="155"/>
      <c r="AE38" s="30"/>
      <c r="AF38" s="30"/>
      <c r="AG38" s="30"/>
      <c r="AH38" s="30"/>
      <c r="AI38" s="30"/>
      <c r="AJ38" s="67"/>
      <c r="AK38" s="160"/>
      <c r="AN38" s="159"/>
      <c r="AO38" s="188"/>
      <c r="AP38" s="182"/>
      <c r="AQ38" s="182"/>
      <c r="AR38" s="182"/>
      <c r="AS38" s="182"/>
      <c r="AT38" s="182"/>
      <c r="AU38" s="182"/>
      <c r="AV38" s="182"/>
      <c r="AW38" s="183"/>
      <c r="AX38" s="56"/>
      <c r="AY38" s="718" t="s">
        <v>0</v>
      </c>
      <c r="AZ38" s="718"/>
      <c r="BA38" s="718"/>
      <c r="BB38" s="718" t="s">
        <v>236</v>
      </c>
      <c r="BC38" s="718" t="s">
        <v>237</v>
      </c>
      <c r="BD38" s="718" t="s">
        <v>238</v>
      </c>
      <c r="BE38" s="716" t="s">
        <v>119</v>
      </c>
      <c r="BF38" s="716"/>
      <c r="BG38" s="716" t="str">
        <f>AY62</f>
        <v>حقوق اقلیت</v>
      </c>
      <c r="BH38" s="716" t="s">
        <v>222</v>
      </c>
      <c r="BI38" s="56"/>
      <c r="BJ38" s="160"/>
    </row>
    <row r="39" spans="2:62" ht="14.25">
      <c r="B39" s="159"/>
      <c r="C39" s="65"/>
      <c r="D39" s="151"/>
      <c r="E39" s="151"/>
      <c r="F39" s="152"/>
      <c r="G39" s="152"/>
      <c r="H39" s="30"/>
      <c r="I39" s="30"/>
      <c r="J39" s="30"/>
      <c r="K39" s="30"/>
      <c r="L39" s="30"/>
      <c r="M39" s="67"/>
      <c r="N39" s="30"/>
      <c r="O39" s="65"/>
      <c r="P39" s="793" t="s">
        <v>143</v>
      </c>
      <c r="Q39" s="793"/>
      <c r="R39" s="40">
        <f>R26</f>
        <v>0</v>
      </c>
      <c r="S39" s="40">
        <f>S26</f>
        <v>119</v>
      </c>
      <c r="T39" s="40">
        <f>T26</f>
        <v>0</v>
      </c>
      <c r="U39" s="40">
        <f>U26</f>
        <v>2</v>
      </c>
      <c r="V39" s="40"/>
      <c r="W39" s="40"/>
      <c r="X39" s="40"/>
      <c r="Y39" s="40">
        <f>SUM(U39,S39)</f>
        <v>121</v>
      </c>
      <c r="Z39" s="67"/>
      <c r="AA39" s="65"/>
      <c r="AB39" s="154"/>
      <c r="AC39" s="154"/>
      <c r="AD39" s="155"/>
      <c r="AE39" s="30"/>
      <c r="AF39" s="30"/>
      <c r="AG39" s="30"/>
      <c r="AH39" s="30"/>
      <c r="AI39" s="30"/>
      <c r="AJ39" s="67"/>
      <c r="AK39" s="160"/>
      <c r="AN39" s="159"/>
      <c r="AO39" s="189" t="s">
        <v>245</v>
      </c>
      <c r="AP39" s="30"/>
      <c r="AQ39" s="30"/>
      <c r="AR39" s="30"/>
      <c r="AS39" s="30"/>
      <c r="AT39" s="30"/>
      <c r="AU39" s="30"/>
      <c r="AV39" s="30"/>
      <c r="AW39" s="184"/>
      <c r="AX39" s="56"/>
      <c r="AY39" s="718"/>
      <c r="AZ39" s="718"/>
      <c r="BA39" s="718"/>
      <c r="BB39" s="718"/>
      <c r="BC39" s="718"/>
      <c r="BD39" s="718"/>
      <c r="BE39" s="212" t="s">
        <v>126</v>
      </c>
      <c r="BF39" s="212" t="s">
        <v>122</v>
      </c>
      <c r="BG39" s="716"/>
      <c r="BH39" s="717"/>
      <c r="BI39" s="56"/>
      <c r="BJ39" s="160"/>
    </row>
    <row r="40" spans="2:62" ht="15.75" thickBot="1">
      <c r="B40" s="159"/>
      <c r="C40" s="65"/>
      <c r="D40" s="30"/>
      <c r="E40" s="30"/>
      <c r="F40" s="30"/>
      <c r="G40" s="30"/>
      <c r="H40" s="30"/>
      <c r="I40" s="30"/>
      <c r="J40" s="30"/>
      <c r="K40" s="30"/>
      <c r="L40" s="30"/>
      <c r="M40" s="67"/>
      <c r="N40" s="30"/>
      <c r="O40" s="65"/>
      <c r="P40" s="809" t="s">
        <v>144</v>
      </c>
      <c r="Q40" s="809"/>
      <c r="R40" s="85">
        <f>SUM(R28:R39)</f>
        <v>373</v>
      </c>
      <c r="S40" s="85">
        <f>SUM(S28:S39)</f>
        <v>373</v>
      </c>
      <c r="T40" s="85">
        <f>SUM(T28:T39)</f>
        <v>23</v>
      </c>
      <c r="U40" s="85">
        <f>SUM(U28:U39)</f>
        <v>23</v>
      </c>
      <c r="V40" s="86">
        <f>SUM(V12:V39)</f>
        <v>35</v>
      </c>
      <c r="W40" s="86">
        <f>SUM(W12:W39)</f>
        <v>35</v>
      </c>
      <c r="X40" s="85">
        <f>SUM(X28:X39)</f>
        <v>376</v>
      </c>
      <c r="Y40" s="85">
        <f>SUM(Y28:Y39)</f>
        <v>376</v>
      </c>
      <c r="Z40" s="67"/>
      <c r="AA40" s="65"/>
      <c r="AB40" s="30"/>
      <c r="AC40" s="30"/>
      <c r="AD40" s="30"/>
      <c r="AE40" s="30"/>
      <c r="AF40" s="30"/>
      <c r="AG40" s="30"/>
      <c r="AH40" s="30"/>
      <c r="AI40" s="30"/>
      <c r="AJ40" s="67"/>
      <c r="AK40" s="160"/>
      <c r="AN40" s="159"/>
      <c r="AO40" s="190" t="s">
        <v>247</v>
      </c>
      <c r="AP40" s="191"/>
      <c r="AQ40" s="191"/>
      <c r="AR40" s="191"/>
      <c r="AS40" s="191"/>
      <c r="AT40" s="191"/>
      <c r="AU40" s="30"/>
      <c r="AV40" s="30">
        <v>250000</v>
      </c>
      <c r="AW40" s="184"/>
      <c r="AX40" s="56"/>
      <c r="AY40" s="678" t="s">
        <v>239</v>
      </c>
      <c r="AZ40" s="678"/>
      <c r="BA40" s="678"/>
      <c r="BB40" s="209">
        <v>82000</v>
      </c>
      <c r="BC40" s="209">
        <v>36000</v>
      </c>
      <c r="BD40" s="209">
        <v>4000</v>
      </c>
      <c r="BE40" s="215">
        <v>20000</v>
      </c>
      <c r="BF40" s="215"/>
      <c r="BG40" s="188"/>
      <c r="BH40" s="215">
        <f>BB40+BC40+BD40-BF40+BE40</f>
        <v>142000</v>
      </c>
      <c r="BI40" s="56"/>
      <c r="BJ40" s="160"/>
    </row>
    <row r="41" spans="2:62" ht="16.5" thickBot="1" thickTop="1">
      <c r="B41" s="159"/>
      <c r="C41" s="84"/>
      <c r="D41" s="53"/>
      <c r="E41" s="53"/>
      <c r="F41" s="53"/>
      <c r="G41" s="53"/>
      <c r="H41" s="53"/>
      <c r="I41" s="53"/>
      <c r="J41" s="53"/>
      <c r="K41" s="53"/>
      <c r="L41" s="53"/>
      <c r="M41" s="67"/>
      <c r="N41" s="30"/>
      <c r="O41" s="84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87"/>
      <c r="AA41" s="84"/>
      <c r="AB41" s="53"/>
      <c r="AC41" s="53"/>
      <c r="AD41" s="53"/>
      <c r="AE41" s="53"/>
      <c r="AF41" s="53"/>
      <c r="AG41" s="53"/>
      <c r="AH41" s="53"/>
      <c r="AI41" s="53"/>
      <c r="AJ41" s="87"/>
      <c r="AK41" s="160"/>
      <c r="AN41" s="159"/>
      <c r="AO41" s="189" t="s">
        <v>86</v>
      </c>
      <c r="AP41" s="30"/>
      <c r="AQ41" s="30"/>
      <c r="AR41" s="30"/>
      <c r="AS41" s="30"/>
      <c r="AT41" s="30"/>
      <c r="AU41" s="30"/>
      <c r="AV41" s="30"/>
      <c r="AW41" s="184"/>
      <c r="AX41" s="56"/>
      <c r="AY41" s="678" t="s">
        <v>225</v>
      </c>
      <c r="AZ41" s="678"/>
      <c r="BA41" s="678"/>
      <c r="BB41" s="209">
        <v>68000</v>
      </c>
      <c r="BC41" s="209">
        <v>59000</v>
      </c>
      <c r="BD41" s="209">
        <v>10000</v>
      </c>
      <c r="BE41" s="211"/>
      <c r="BF41" s="211">
        <v>11000</v>
      </c>
      <c r="BG41" s="189"/>
      <c r="BH41" s="211">
        <f aca="true" t="shared" si="4" ref="BH41:BH46">BB41+BC41+BD41-BF41+BE41</f>
        <v>126000</v>
      </c>
      <c r="BI41" s="56"/>
      <c r="BJ41" s="160"/>
    </row>
    <row r="42" spans="2:62" ht="15.75" thickTop="1">
      <c r="B42" s="15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6"/>
      <c r="O42" s="30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160"/>
      <c r="AN42" s="159"/>
      <c r="AO42" s="682" t="s">
        <v>249</v>
      </c>
      <c r="AP42" s="720"/>
      <c r="AQ42" s="720"/>
      <c r="AR42" s="720"/>
      <c r="AS42" s="720"/>
      <c r="AT42" s="720"/>
      <c r="AU42" s="720"/>
      <c r="AV42" s="50">
        <v>243000</v>
      </c>
      <c r="AW42" s="184"/>
      <c r="AX42" s="56"/>
      <c r="AY42" s="678" t="s">
        <v>226</v>
      </c>
      <c r="AZ42" s="678"/>
      <c r="BA42" s="678"/>
      <c r="BB42" s="209">
        <v>76000</v>
      </c>
      <c r="BC42" s="209">
        <v>64000</v>
      </c>
      <c r="BD42" s="209">
        <v>15000</v>
      </c>
      <c r="BE42" s="211"/>
      <c r="BF42" s="211"/>
      <c r="BG42" s="189"/>
      <c r="BH42" s="211">
        <f t="shared" si="4"/>
        <v>155000</v>
      </c>
      <c r="BI42" s="56"/>
      <c r="BJ42" s="160"/>
    </row>
    <row r="43" spans="2:62" ht="15.75" thickBot="1">
      <c r="B43" s="17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9"/>
      <c r="AN43" s="159"/>
      <c r="AO43" s="189" t="s">
        <v>251</v>
      </c>
      <c r="AP43" s="30"/>
      <c r="AQ43" s="30"/>
      <c r="AR43" s="30"/>
      <c r="AS43" s="30"/>
      <c r="AT43" s="30"/>
      <c r="AU43" s="30"/>
      <c r="AV43" s="30">
        <f>AV40-AV42</f>
        <v>7000</v>
      </c>
      <c r="AW43" s="184"/>
      <c r="AX43" s="56"/>
      <c r="AY43" s="678" t="s">
        <v>240</v>
      </c>
      <c r="AZ43" s="678"/>
      <c r="BA43" s="678"/>
      <c r="BB43" s="209">
        <v>20000</v>
      </c>
      <c r="BC43" s="209"/>
      <c r="BD43" s="209"/>
      <c r="BE43" s="211"/>
      <c r="BF43" s="211">
        <v>20000</v>
      </c>
      <c r="BG43" s="189"/>
      <c r="BH43" s="211">
        <f t="shared" si="4"/>
        <v>0</v>
      </c>
      <c r="BI43" s="56"/>
      <c r="BJ43" s="160"/>
    </row>
    <row r="44" spans="3:62" ht="1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AN44" s="159"/>
      <c r="AO44" s="189" t="s">
        <v>252</v>
      </c>
      <c r="AP44" s="30"/>
      <c r="AQ44" s="30"/>
      <c r="AR44" s="30"/>
      <c r="AS44" s="30"/>
      <c r="AT44" s="30"/>
      <c r="AU44" s="30"/>
      <c r="AV44" s="30"/>
      <c r="AW44" s="184"/>
      <c r="AX44" s="56"/>
      <c r="AY44" s="678" t="s">
        <v>241</v>
      </c>
      <c r="AZ44" s="678"/>
      <c r="BA44" s="678"/>
      <c r="BB44" s="209">
        <v>250000</v>
      </c>
      <c r="BC44" s="209"/>
      <c r="BD44" s="209"/>
      <c r="BE44" s="211"/>
      <c r="BF44" s="211">
        <v>250000</v>
      </c>
      <c r="BG44" s="189"/>
      <c r="BH44" s="211">
        <f t="shared" si="4"/>
        <v>0</v>
      </c>
      <c r="BI44" s="56"/>
      <c r="BJ44" s="160"/>
    </row>
    <row r="45" spans="3:62" ht="15">
      <c r="C45" s="150"/>
      <c r="D45" s="66"/>
      <c r="E45" s="66"/>
      <c r="F45" s="66"/>
      <c r="G45" s="66"/>
      <c r="H45" s="66"/>
      <c r="I45" s="66"/>
      <c r="J45" s="66"/>
      <c r="K45" s="66"/>
      <c r="L45" s="66"/>
      <c r="M45" s="66"/>
      <c r="AA45" s="153"/>
      <c r="AB45" s="142"/>
      <c r="AC45" s="142"/>
      <c r="AN45" s="159"/>
      <c r="AO45" s="189"/>
      <c r="AP45" s="30" t="s">
        <v>253</v>
      </c>
      <c r="AQ45" s="30" t="s">
        <v>254</v>
      </c>
      <c r="AR45" s="30" t="s">
        <v>255</v>
      </c>
      <c r="AS45" s="30" t="s">
        <v>256</v>
      </c>
      <c r="AT45" s="30" t="s">
        <v>199</v>
      </c>
      <c r="AU45" s="30"/>
      <c r="AV45" s="30"/>
      <c r="AW45" s="184"/>
      <c r="AX45" s="56"/>
      <c r="AY45" s="678" t="s">
        <v>242</v>
      </c>
      <c r="AZ45" s="678"/>
      <c r="BA45" s="678"/>
      <c r="BB45" s="209">
        <v>115000</v>
      </c>
      <c r="BC45" s="209"/>
      <c r="BD45" s="209"/>
      <c r="BE45" s="211"/>
      <c r="BF45" s="211">
        <v>115000</v>
      </c>
      <c r="BG45" s="189"/>
      <c r="BH45" s="211">
        <f t="shared" si="4"/>
        <v>0</v>
      </c>
      <c r="BI45" s="56"/>
      <c r="BJ45" s="160"/>
    </row>
    <row r="46" spans="3:62" ht="15.75" thickBot="1">
      <c r="C46" s="150"/>
      <c r="D46" s="66"/>
      <c r="E46" s="66"/>
      <c r="F46" s="66"/>
      <c r="G46" s="66"/>
      <c r="H46" s="66"/>
      <c r="I46" s="66"/>
      <c r="J46" s="66"/>
      <c r="K46" s="66"/>
      <c r="L46" s="66"/>
      <c r="M46" s="66"/>
      <c r="AA46" s="153"/>
      <c r="AB46" s="142"/>
      <c r="AC46" s="142"/>
      <c r="AN46" s="159"/>
      <c r="AO46" s="207" t="s">
        <v>135</v>
      </c>
      <c r="AP46" s="30">
        <v>17000</v>
      </c>
      <c r="AQ46" s="30">
        <v>10000</v>
      </c>
      <c r="AR46" s="30">
        <f>AP46-AQ46</f>
        <v>7000</v>
      </c>
      <c r="AS46" s="30">
        <v>0.9</v>
      </c>
      <c r="AT46" s="30">
        <f>AR46*AS46</f>
        <v>6300</v>
      </c>
      <c r="AU46" s="30"/>
      <c r="AV46" s="50">
        <f>AT46</f>
        <v>6300</v>
      </c>
      <c r="AW46" s="184"/>
      <c r="AX46" s="56"/>
      <c r="AY46" s="678" t="s">
        <v>243</v>
      </c>
      <c r="AZ46" s="678"/>
      <c r="BA46" s="678"/>
      <c r="BB46" s="209">
        <v>200000</v>
      </c>
      <c r="BC46" s="209">
        <v>241000</v>
      </c>
      <c r="BD46" s="209">
        <v>130000</v>
      </c>
      <c r="BE46" s="211"/>
      <c r="BF46" s="211"/>
      <c r="BG46" s="189"/>
      <c r="BH46" s="211">
        <f t="shared" si="4"/>
        <v>571000</v>
      </c>
      <c r="BI46" s="56"/>
      <c r="BJ46" s="160"/>
    </row>
    <row r="47" spans="2:62" ht="15.75" thickBot="1">
      <c r="B47" s="174"/>
      <c r="C47" s="727" t="s">
        <v>193</v>
      </c>
      <c r="D47" s="72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N47" s="159"/>
      <c r="AO47" s="192" t="s">
        <v>211</v>
      </c>
      <c r="AP47" s="50"/>
      <c r="AQ47" s="50"/>
      <c r="AR47" s="50"/>
      <c r="AS47" s="50"/>
      <c r="AT47" s="50"/>
      <c r="AU47" s="50"/>
      <c r="AV47" s="52">
        <f>AV43-AV46</f>
        <v>700</v>
      </c>
      <c r="AW47" s="185"/>
      <c r="AX47" s="56"/>
      <c r="AY47" s="678" t="s">
        <v>135</v>
      </c>
      <c r="AZ47" s="678"/>
      <c r="BA47" s="678"/>
      <c r="BB47" s="209">
        <v>24000</v>
      </c>
      <c r="BC47" s="209">
        <v>10000</v>
      </c>
      <c r="BD47" s="209">
        <v>6000</v>
      </c>
      <c r="BE47" s="211">
        <v>6300</v>
      </c>
      <c r="BF47" s="211"/>
      <c r="BG47" s="189"/>
      <c r="BH47" s="211">
        <f>BB47+BC47+BD47+BE47+BE48</f>
        <v>48700</v>
      </c>
      <c r="BI47" s="56"/>
      <c r="BJ47" s="160"/>
    </row>
    <row r="48" spans="2:62" ht="16.5" thickBot="1" thickTop="1">
      <c r="B48" s="159"/>
      <c r="C48" s="728"/>
      <c r="D48" s="728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160"/>
      <c r="AN48" s="159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677"/>
      <c r="AZ48" s="677"/>
      <c r="BA48" s="677"/>
      <c r="BB48" s="209"/>
      <c r="BC48" s="209"/>
      <c r="BD48" s="209"/>
      <c r="BE48" s="211">
        <v>2400</v>
      </c>
      <c r="BF48" s="211"/>
      <c r="BG48" s="189"/>
      <c r="BH48" s="211"/>
      <c r="BI48" s="56"/>
      <c r="BJ48" s="160"/>
    </row>
    <row r="49" spans="2:62" ht="16.5" thickBot="1" thickTop="1">
      <c r="B49" s="159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4"/>
      <c r="N49" s="62"/>
      <c r="O49" s="63"/>
      <c r="P49" s="63"/>
      <c r="Q49" s="63"/>
      <c r="R49" s="63"/>
      <c r="S49" s="63"/>
      <c r="T49" s="63"/>
      <c r="U49" s="63"/>
      <c r="V49" s="63"/>
      <c r="W49" s="63"/>
      <c r="X49" s="752"/>
      <c r="Y49" s="754"/>
      <c r="Z49" s="160"/>
      <c r="AN49" s="159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677" t="str">
        <f>AO59</f>
        <v>سرقفلی</v>
      </c>
      <c r="AZ49" s="677"/>
      <c r="BA49" s="677"/>
      <c r="BB49" s="209"/>
      <c r="BC49" s="209"/>
      <c r="BD49" s="209"/>
      <c r="BE49" s="211">
        <v>700</v>
      </c>
      <c r="BF49" s="211"/>
      <c r="BG49" s="189"/>
      <c r="BH49" s="211">
        <f>BE49+BE50</f>
        <v>1300</v>
      </c>
      <c r="BI49" s="56"/>
      <c r="BJ49" s="160"/>
    </row>
    <row r="50" spans="2:62" ht="13.5" thickBot="1">
      <c r="B50" s="159"/>
      <c r="C50" s="65"/>
      <c r="D50" s="30"/>
      <c r="E50" s="30"/>
      <c r="F50" s="30"/>
      <c r="G50" s="30"/>
      <c r="H50" s="30"/>
      <c r="I50" s="857"/>
      <c r="J50" s="858"/>
      <c r="K50" s="858"/>
      <c r="L50" s="859"/>
      <c r="M50" s="67"/>
      <c r="N50" s="6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67"/>
      <c r="Z50" s="160"/>
      <c r="AN50" s="159"/>
      <c r="AO50" s="188"/>
      <c r="AP50" s="182"/>
      <c r="AQ50" s="182"/>
      <c r="AR50" s="182"/>
      <c r="AS50" s="182"/>
      <c r="AT50" s="182"/>
      <c r="AU50" s="182"/>
      <c r="AV50" s="182"/>
      <c r="AW50" s="183"/>
      <c r="AX50" s="56"/>
      <c r="AY50" s="719"/>
      <c r="AZ50" s="719"/>
      <c r="BA50" s="719"/>
      <c r="BB50" s="210"/>
      <c r="BC50" s="210"/>
      <c r="BD50" s="210"/>
      <c r="BE50" s="211">
        <v>600</v>
      </c>
      <c r="BF50" s="211"/>
      <c r="BG50" s="189"/>
      <c r="BH50" s="210"/>
      <c r="BI50" s="56"/>
      <c r="BJ50" s="160"/>
    </row>
    <row r="51" spans="2:62" ht="16.5" thickBot="1" thickTop="1">
      <c r="B51" s="159"/>
      <c r="C51" s="65"/>
      <c r="D51" s="815" t="s">
        <v>147</v>
      </c>
      <c r="E51" s="816"/>
      <c r="F51" s="816"/>
      <c r="G51" s="817"/>
      <c r="H51" s="30"/>
      <c r="I51" s="860"/>
      <c r="J51" s="834"/>
      <c r="K51" s="834"/>
      <c r="L51" s="861"/>
      <c r="M51" s="67"/>
      <c r="N51" s="65"/>
      <c r="O51" s="796" t="s">
        <v>145</v>
      </c>
      <c r="P51" s="797"/>
      <c r="Q51" s="797"/>
      <c r="R51" s="797"/>
      <c r="S51" s="797"/>
      <c r="T51" s="797"/>
      <c r="U51" s="797"/>
      <c r="V51" s="797"/>
      <c r="W51" s="797"/>
      <c r="X51" s="798"/>
      <c r="Y51" s="67"/>
      <c r="Z51" s="160"/>
      <c r="AN51" s="159"/>
      <c r="AO51" s="189" t="s">
        <v>246</v>
      </c>
      <c r="AP51" s="30"/>
      <c r="AQ51" s="30"/>
      <c r="AR51" s="30"/>
      <c r="AS51" s="30"/>
      <c r="AT51" s="30"/>
      <c r="AU51" s="30"/>
      <c r="AV51" s="30"/>
      <c r="AW51" s="184"/>
      <c r="AX51" s="56"/>
      <c r="AY51" s="532" t="s">
        <v>59</v>
      </c>
      <c r="AZ51" s="532"/>
      <c r="BA51" s="532"/>
      <c r="BB51" s="208">
        <f>SUM(BB40:BB50)</f>
        <v>835000</v>
      </c>
      <c r="BC51" s="208">
        <f>SUM(BC40:BC50)</f>
        <v>410000</v>
      </c>
      <c r="BD51" s="208">
        <f>SUM(BD40:BD50)</f>
        <v>165000</v>
      </c>
      <c r="BE51" s="211"/>
      <c r="BF51" s="211"/>
      <c r="BG51" s="211"/>
      <c r="BH51" s="213">
        <f>SUM(BH40:BH50)</f>
        <v>1044000</v>
      </c>
      <c r="BI51" s="56"/>
      <c r="BJ51" s="160"/>
    </row>
    <row r="52" spans="2:62" ht="16.5" thickBot="1" thickTop="1">
      <c r="B52" s="159"/>
      <c r="C52" s="65"/>
      <c r="D52" s="818"/>
      <c r="E52" s="819"/>
      <c r="F52" s="819"/>
      <c r="G52" s="820"/>
      <c r="H52" s="30"/>
      <c r="I52" s="862"/>
      <c r="J52" s="863"/>
      <c r="K52" s="863"/>
      <c r="L52" s="864"/>
      <c r="M52" s="67"/>
      <c r="N52" s="65"/>
      <c r="O52" s="799"/>
      <c r="P52" s="800"/>
      <c r="Q52" s="800"/>
      <c r="R52" s="800"/>
      <c r="S52" s="800"/>
      <c r="T52" s="800"/>
      <c r="U52" s="800"/>
      <c r="V52" s="800"/>
      <c r="W52" s="800"/>
      <c r="X52" s="801"/>
      <c r="Y52" s="67"/>
      <c r="Z52" s="160"/>
      <c r="AN52" s="159"/>
      <c r="AO52" s="190" t="s">
        <v>248</v>
      </c>
      <c r="AP52" s="191"/>
      <c r="AQ52" s="191"/>
      <c r="AR52" s="191"/>
      <c r="AS52" s="191"/>
      <c r="AT52" s="191"/>
      <c r="AU52" s="30"/>
      <c r="AV52" s="30">
        <v>115000</v>
      </c>
      <c r="AW52" s="184"/>
      <c r="AX52" s="56"/>
      <c r="AY52" s="721" t="s">
        <v>230</v>
      </c>
      <c r="AZ52" s="721"/>
      <c r="BA52" s="721"/>
      <c r="BB52" s="209">
        <v>85000</v>
      </c>
      <c r="BC52" s="209">
        <v>40000</v>
      </c>
      <c r="BD52" s="209">
        <v>25000</v>
      </c>
      <c r="BE52" s="211">
        <v>11000</v>
      </c>
      <c r="BF52" s="211"/>
      <c r="BG52" s="189"/>
      <c r="BH52" s="215">
        <f>BB52+BC52+BD52+BF52-BE52</f>
        <v>139000</v>
      </c>
      <c r="BI52" s="56"/>
      <c r="BJ52" s="160"/>
    </row>
    <row r="53" spans="2:62" ht="15.75" thickBot="1">
      <c r="B53" s="159"/>
      <c r="C53" s="65"/>
      <c r="D53" s="821"/>
      <c r="E53" s="822"/>
      <c r="F53" s="822"/>
      <c r="G53" s="823"/>
      <c r="H53" s="30"/>
      <c r="I53" s="30"/>
      <c r="J53" s="30"/>
      <c r="K53" s="30"/>
      <c r="L53" s="56"/>
      <c r="M53" s="67"/>
      <c r="N53" s="65"/>
      <c r="O53" s="802"/>
      <c r="P53" s="803"/>
      <c r="Q53" s="803"/>
      <c r="R53" s="803"/>
      <c r="S53" s="803"/>
      <c r="T53" s="803"/>
      <c r="U53" s="803"/>
      <c r="V53" s="803"/>
      <c r="W53" s="803"/>
      <c r="X53" s="804"/>
      <c r="Y53" s="67"/>
      <c r="Z53" s="160"/>
      <c r="AN53" s="159"/>
      <c r="AO53" s="189" t="s">
        <v>86</v>
      </c>
      <c r="AP53" s="30"/>
      <c r="AQ53" s="30"/>
      <c r="AR53" s="30"/>
      <c r="AS53" s="30"/>
      <c r="AT53" s="30"/>
      <c r="AU53" s="30"/>
      <c r="AV53" s="30"/>
      <c r="AW53" s="184"/>
      <c r="AX53" s="56"/>
      <c r="AY53" s="678" t="s">
        <v>244</v>
      </c>
      <c r="AZ53" s="678"/>
      <c r="BA53" s="678"/>
      <c r="BB53" s="209"/>
      <c r="BC53" s="209">
        <v>100000</v>
      </c>
      <c r="BD53" s="209"/>
      <c r="BE53" s="211"/>
      <c r="BF53" s="211"/>
      <c r="BG53" s="189"/>
      <c r="BH53" s="211">
        <f>BB53+BC53+BD53+BF53-BE53</f>
        <v>100000</v>
      </c>
      <c r="BI53" s="56"/>
      <c r="BJ53" s="160"/>
    </row>
    <row r="54" spans="2:62" ht="12.75" customHeight="1" thickBot="1" thickTop="1">
      <c r="B54" s="159"/>
      <c r="C54" s="65"/>
      <c r="D54" s="837" t="s">
        <v>114</v>
      </c>
      <c r="E54" s="838"/>
      <c r="F54" s="835" t="s">
        <v>115</v>
      </c>
      <c r="G54" s="836"/>
      <c r="H54" s="30"/>
      <c r="I54" s="815" t="s">
        <v>152</v>
      </c>
      <c r="J54" s="816"/>
      <c r="K54" s="816"/>
      <c r="L54" s="817"/>
      <c r="M54" s="67"/>
      <c r="N54" s="65"/>
      <c r="O54" s="806" t="s">
        <v>114</v>
      </c>
      <c r="P54" s="794"/>
      <c r="Q54" s="794" t="s">
        <v>141</v>
      </c>
      <c r="R54" s="794"/>
      <c r="S54" s="794" t="s">
        <v>117</v>
      </c>
      <c r="T54" s="794"/>
      <c r="U54" s="794" t="s">
        <v>119</v>
      </c>
      <c r="V54" s="794"/>
      <c r="W54" s="794" t="s">
        <v>120</v>
      </c>
      <c r="X54" s="795"/>
      <c r="Y54" s="67"/>
      <c r="Z54" s="160"/>
      <c r="AN54" s="159"/>
      <c r="AO54" s="682" t="s">
        <v>250</v>
      </c>
      <c r="AP54" s="720"/>
      <c r="AQ54" s="720"/>
      <c r="AR54" s="720"/>
      <c r="AS54" s="720"/>
      <c r="AT54" s="720"/>
      <c r="AU54" s="720"/>
      <c r="AV54" s="50">
        <v>112000</v>
      </c>
      <c r="AW54" s="184"/>
      <c r="AX54" s="56"/>
      <c r="AY54" s="678" t="s">
        <v>257</v>
      </c>
      <c r="AZ54" s="678"/>
      <c r="BA54" s="678"/>
      <c r="BB54" s="209"/>
      <c r="BC54" s="209"/>
      <c r="BD54" s="209"/>
      <c r="BE54" s="211"/>
      <c r="BF54" s="211"/>
      <c r="BG54" s="189"/>
      <c r="BH54" s="211"/>
      <c r="BI54" s="56"/>
      <c r="BJ54" s="160"/>
    </row>
    <row r="55" spans="2:62" ht="15.75" thickBot="1">
      <c r="B55" s="159"/>
      <c r="C55" s="65"/>
      <c r="D55" s="851"/>
      <c r="E55" s="852"/>
      <c r="F55" s="91" t="s">
        <v>141</v>
      </c>
      <c r="G55" s="92" t="s">
        <v>117</v>
      </c>
      <c r="H55" s="30"/>
      <c r="I55" s="818"/>
      <c r="J55" s="819"/>
      <c r="K55" s="819"/>
      <c r="L55" s="820"/>
      <c r="M55" s="67"/>
      <c r="N55" s="65"/>
      <c r="O55" s="898"/>
      <c r="P55" s="899"/>
      <c r="Q55" s="89" t="s">
        <v>126</v>
      </c>
      <c r="R55" s="89" t="s">
        <v>122</v>
      </c>
      <c r="S55" s="89" t="s">
        <v>126</v>
      </c>
      <c r="T55" s="89" t="s">
        <v>122</v>
      </c>
      <c r="U55" s="89" t="s">
        <v>126</v>
      </c>
      <c r="V55" s="89" t="s">
        <v>122</v>
      </c>
      <c r="W55" s="89" t="s">
        <v>126</v>
      </c>
      <c r="X55" s="89" t="s">
        <v>122</v>
      </c>
      <c r="Y55" s="67"/>
      <c r="Z55" s="160"/>
      <c r="AN55" s="159"/>
      <c r="AO55" s="189" t="s">
        <v>251</v>
      </c>
      <c r="AP55" s="30"/>
      <c r="AQ55" s="30"/>
      <c r="AR55" s="30"/>
      <c r="AS55" s="30"/>
      <c r="AT55" s="30"/>
      <c r="AU55" s="30"/>
      <c r="AV55" s="30">
        <f>AV52-AV54</f>
        <v>3000</v>
      </c>
      <c r="AW55" s="184"/>
      <c r="AX55" s="56"/>
      <c r="AY55" s="674" t="s">
        <v>236</v>
      </c>
      <c r="AZ55" s="674"/>
      <c r="BA55" s="674"/>
      <c r="BB55" s="209">
        <v>500000</v>
      </c>
      <c r="BC55" s="209"/>
      <c r="BD55" s="209"/>
      <c r="BE55" s="211"/>
      <c r="BF55" s="211"/>
      <c r="BG55" s="189"/>
      <c r="BH55" s="211">
        <f>BB55+BC55+BD55+BF55-BE55</f>
        <v>500000</v>
      </c>
      <c r="BI55" s="56"/>
      <c r="BJ55" s="160"/>
    </row>
    <row r="56" spans="2:62" ht="16.5" thickBot="1" thickTop="1">
      <c r="B56" s="159"/>
      <c r="C56" s="65"/>
      <c r="D56" s="865" t="s">
        <v>40</v>
      </c>
      <c r="E56" s="866"/>
      <c r="F56" s="98">
        <v>100</v>
      </c>
      <c r="G56" s="99">
        <v>60</v>
      </c>
      <c r="H56" s="30"/>
      <c r="I56" s="818"/>
      <c r="J56" s="819"/>
      <c r="K56" s="819"/>
      <c r="L56" s="820"/>
      <c r="M56" s="67"/>
      <c r="N56" s="65"/>
      <c r="O56" s="900" t="s">
        <v>124</v>
      </c>
      <c r="P56" s="901"/>
      <c r="Q56" s="93"/>
      <c r="R56" s="93"/>
      <c r="S56" s="93"/>
      <c r="T56" s="93"/>
      <c r="U56" s="93"/>
      <c r="V56" s="93"/>
      <c r="W56" s="93"/>
      <c r="X56" s="94"/>
      <c r="Y56" s="67"/>
      <c r="Z56" s="160"/>
      <c r="AN56" s="159"/>
      <c r="AO56" s="189" t="s">
        <v>252</v>
      </c>
      <c r="AP56" s="30"/>
      <c r="AQ56" s="30"/>
      <c r="AR56" s="30"/>
      <c r="AS56" s="30"/>
      <c r="AT56" s="30"/>
      <c r="AU56" s="30"/>
      <c r="AV56" s="30"/>
      <c r="AW56" s="184"/>
      <c r="AX56" s="56"/>
      <c r="AY56" s="674" t="s">
        <v>237</v>
      </c>
      <c r="AZ56" s="674"/>
      <c r="BA56" s="674"/>
      <c r="BB56" s="209"/>
      <c r="BC56" s="209">
        <v>200000</v>
      </c>
      <c r="BD56" s="209"/>
      <c r="BE56" s="211">
        <f>0.9*BC56</f>
        <v>180000</v>
      </c>
      <c r="BF56" s="211"/>
      <c r="BG56" s="189">
        <f>0.1*BC56</f>
        <v>20000</v>
      </c>
      <c r="BH56" s="211"/>
      <c r="BI56" s="56"/>
      <c r="BJ56" s="160"/>
    </row>
    <row r="57" spans="2:62" ht="15.75" thickTop="1">
      <c r="B57" s="159"/>
      <c r="C57" s="65"/>
      <c r="D57" s="843" t="s">
        <v>123</v>
      </c>
      <c r="E57" s="844"/>
      <c r="F57" s="104">
        <v>20</v>
      </c>
      <c r="G57" s="105">
        <v>8.4</v>
      </c>
      <c r="H57" s="30"/>
      <c r="I57" s="855" t="s">
        <v>114</v>
      </c>
      <c r="J57" s="856"/>
      <c r="K57" s="106" t="s">
        <v>126</v>
      </c>
      <c r="L57" s="107" t="s">
        <v>122</v>
      </c>
      <c r="M57" s="67"/>
      <c r="N57" s="65"/>
      <c r="O57" s="890" t="str">
        <f>'حسابداری پیشرفته 1و2'!D56</f>
        <v>فروش</v>
      </c>
      <c r="P57" s="793"/>
      <c r="Q57" s="100"/>
      <c r="R57" s="100">
        <f>'حسابداری پیشرفته 1و2'!F56</f>
        <v>100</v>
      </c>
      <c r="S57" s="100"/>
      <c r="T57" s="100">
        <f>'حسابداری پیشرفته 1و2'!G56</f>
        <v>60</v>
      </c>
      <c r="U57" s="100"/>
      <c r="V57" s="100"/>
      <c r="W57" s="100"/>
      <c r="X57" s="101">
        <f>SUM(R57,T57)</f>
        <v>160</v>
      </c>
      <c r="Y57" s="67"/>
      <c r="Z57" s="160"/>
      <c r="AN57" s="159"/>
      <c r="AO57" s="189"/>
      <c r="AP57" s="30" t="s">
        <v>253</v>
      </c>
      <c r="AQ57" s="30" t="s">
        <v>254</v>
      </c>
      <c r="AR57" s="30" t="s">
        <v>255</v>
      </c>
      <c r="AS57" s="30" t="s">
        <v>256</v>
      </c>
      <c r="AT57" s="30" t="s">
        <v>199</v>
      </c>
      <c r="AU57" s="30"/>
      <c r="AV57" s="30"/>
      <c r="AW57" s="184"/>
      <c r="AX57" s="56"/>
      <c r="AY57" s="674" t="s">
        <v>238</v>
      </c>
      <c r="AZ57" s="674"/>
      <c r="BA57" s="674"/>
      <c r="BB57" s="209"/>
      <c r="BC57" s="209"/>
      <c r="BD57" s="209">
        <v>100000</v>
      </c>
      <c r="BE57" s="211">
        <f>0.8*BD57</f>
        <v>80000</v>
      </c>
      <c r="BF57" s="211"/>
      <c r="BG57" s="189">
        <f>0.2*BD57</f>
        <v>20000</v>
      </c>
      <c r="BH57" s="211"/>
      <c r="BI57" s="56"/>
      <c r="BJ57" s="160"/>
    </row>
    <row r="58" spans="2:62" ht="15">
      <c r="B58" s="159"/>
      <c r="C58" s="65"/>
      <c r="D58" s="843" t="s">
        <v>125</v>
      </c>
      <c r="E58" s="844"/>
      <c r="F58" s="104">
        <v>95</v>
      </c>
      <c r="G58" s="109">
        <v>6</v>
      </c>
      <c r="H58" s="30"/>
      <c r="I58" s="853" t="s">
        <v>155</v>
      </c>
      <c r="J58" s="854"/>
      <c r="K58" s="110">
        <v>1.4</v>
      </c>
      <c r="L58" s="111"/>
      <c r="M58" s="67"/>
      <c r="N58" s="65"/>
      <c r="O58" s="890" t="str">
        <f>'حسابداری پیشرفته 1و2'!D57</f>
        <v>موجودی کالا 1/1</v>
      </c>
      <c r="P58" s="793"/>
      <c r="Q58" s="100">
        <f>'حسابداری پیشرفته 1و2'!F57</f>
        <v>20</v>
      </c>
      <c r="R58" s="100"/>
      <c r="S58" s="100">
        <f>'حسابداری پیشرفته 1و2'!G57</f>
        <v>8.4</v>
      </c>
      <c r="T58" s="100"/>
      <c r="U58" s="100"/>
      <c r="V58" s="100">
        <f>'حسابداری پیشرفته 1و2'!L59</f>
        <v>1.4</v>
      </c>
      <c r="W58" s="100">
        <f>SUM(S58,Q58)-V58</f>
        <v>27</v>
      </c>
      <c r="X58" s="101"/>
      <c r="Y58" s="67"/>
      <c r="Z58" s="160"/>
      <c r="AN58" s="159"/>
      <c r="AO58" s="207" t="s">
        <v>135</v>
      </c>
      <c r="AP58" s="30">
        <v>9000</v>
      </c>
      <c r="AQ58" s="30">
        <v>6000</v>
      </c>
      <c r="AR58" s="30">
        <f>AP58-AQ58</f>
        <v>3000</v>
      </c>
      <c r="AS58" s="30">
        <v>0.8</v>
      </c>
      <c r="AT58" s="30">
        <f>AR58*AS58</f>
        <v>2400</v>
      </c>
      <c r="AU58" s="30"/>
      <c r="AV58" s="50">
        <f>AT58</f>
        <v>2400</v>
      </c>
      <c r="AW58" s="184"/>
      <c r="AX58" s="56"/>
      <c r="AY58" s="678" t="s">
        <v>258</v>
      </c>
      <c r="AZ58" s="678"/>
      <c r="BA58" s="678"/>
      <c r="BB58" s="209"/>
      <c r="BC58" s="209"/>
      <c r="BD58" s="209"/>
      <c r="BE58" s="211"/>
      <c r="BF58" s="211"/>
      <c r="BG58" s="189"/>
      <c r="BH58" s="211"/>
      <c r="BI58" s="56"/>
      <c r="BJ58" s="160"/>
    </row>
    <row r="59" spans="2:62" ht="15.75" thickBot="1">
      <c r="B59" s="159"/>
      <c r="C59" s="65"/>
      <c r="D59" s="843" t="s">
        <v>127</v>
      </c>
      <c r="E59" s="844"/>
      <c r="F59" s="104">
        <v>30</v>
      </c>
      <c r="G59" s="109"/>
      <c r="H59" s="30"/>
      <c r="I59" s="867" t="s">
        <v>123</v>
      </c>
      <c r="J59" s="868"/>
      <c r="K59" s="113"/>
      <c r="L59" s="114">
        <v>1.4</v>
      </c>
      <c r="M59" s="67"/>
      <c r="N59" s="65"/>
      <c r="O59" s="890" t="str">
        <f>'حسابداری پیشرفته 1و2'!D58</f>
        <v>خرید</v>
      </c>
      <c r="P59" s="793"/>
      <c r="Q59" s="100">
        <f>'حسابداری پیشرفته 1و2'!F58</f>
        <v>95</v>
      </c>
      <c r="R59" s="100"/>
      <c r="S59" s="100">
        <f>'حسابداری پیشرفته 1و2'!G58</f>
        <v>6</v>
      </c>
      <c r="T59" s="100"/>
      <c r="U59" s="100"/>
      <c r="V59" s="100"/>
      <c r="W59" s="100">
        <f>SUM(S59,Q59)</f>
        <v>101</v>
      </c>
      <c r="X59" s="101"/>
      <c r="Y59" s="67"/>
      <c r="Z59" s="160"/>
      <c r="AN59" s="159"/>
      <c r="AO59" s="192" t="s">
        <v>211</v>
      </c>
      <c r="AP59" s="50"/>
      <c r="AQ59" s="50"/>
      <c r="AR59" s="50"/>
      <c r="AS59" s="50"/>
      <c r="AT59" s="50"/>
      <c r="AU59" s="50"/>
      <c r="AV59" s="52">
        <f>AV55-AV58</f>
        <v>600</v>
      </c>
      <c r="AW59" s="185"/>
      <c r="AX59" s="56"/>
      <c r="AY59" s="674" t="str">
        <f>AY55</f>
        <v>شرکت الف</v>
      </c>
      <c r="AZ59" s="674"/>
      <c r="BA59" s="674"/>
      <c r="BB59" s="209">
        <v>250000</v>
      </c>
      <c r="BC59" s="209"/>
      <c r="BD59" s="209"/>
      <c r="BE59" s="56"/>
      <c r="BF59" s="211"/>
      <c r="BG59" s="189"/>
      <c r="BH59" s="211">
        <f>BB59+BC59+BD59+BF59-BE59</f>
        <v>250000</v>
      </c>
      <c r="BI59" s="56"/>
      <c r="BJ59" s="160"/>
    </row>
    <row r="60" spans="2:62" ht="16.5" thickBot="1" thickTop="1">
      <c r="B60" s="159"/>
      <c r="C60" s="65"/>
      <c r="D60" s="843" t="s">
        <v>128</v>
      </c>
      <c r="E60" s="844"/>
      <c r="F60" s="104"/>
      <c r="G60" s="109">
        <v>36</v>
      </c>
      <c r="H60" s="30"/>
      <c r="I60" s="869"/>
      <c r="J60" s="870"/>
      <c r="K60" s="116"/>
      <c r="L60" s="117"/>
      <c r="M60" s="67"/>
      <c r="N60" s="65"/>
      <c r="O60" s="890" t="str">
        <f>'حسابداری پیشرفته 1و2'!D59</f>
        <v>کالای ارسالی</v>
      </c>
      <c r="P60" s="793"/>
      <c r="Q60" s="100"/>
      <c r="R60" s="100">
        <f>'حسابداری پیشرفته 1و2'!F59</f>
        <v>30</v>
      </c>
      <c r="S60" s="100"/>
      <c r="T60" s="100"/>
      <c r="U60" s="100">
        <f>'حسابداری پیشرفته 1و2'!K74</f>
        <v>30</v>
      </c>
      <c r="V60" s="100"/>
      <c r="W60" s="100"/>
      <c r="X60" s="101">
        <f>IF(R60=U60,R60-U60,_پ)</f>
        <v>0</v>
      </c>
      <c r="Y60" s="67"/>
      <c r="Z60" s="160"/>
      <c r="AN60" s="159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674" t="str">
        <f>AY56</f>
        <v>شرکت ب</v>
      </c>
      <c r="AZ60" s="674"/>
      <c r="BA60" s="674"/>
      <c r="BB60" s="211"/>
      <c r="BC60" s="209">
        <v>70000</v>
      </c>
      <c r="BD60" s="211"/>
      <c r="BE60" s="211">
        <f>0.9*BC60</f>
        <v>63000</v>
      </c>
      <c r="BF60" s="211"/>
      <c r="BG60" s="189">
        <f>0.1*BC60</f>
        <v>7000</v>
      </c>
      <c r="BH60" s="211"/>
      <c r="BI60" s="56"/>
      <c r="BJ60" s="160"/>
    </row>
    <row r="61" spans="2:62" ht="16.5" thickBot="1" thickTop="1">
      <c r="B61" s="159"/>
      <c r="C61" s="65"/>
      <c r="D61" s="843" t="s">
        <v>129</v>
      </c>
      <c r="E61" s="844"/>
      <c r="F61" s="104">
        <v>25</v>
      </c>
      <c r="G61" s="109">
        <v>7.2</v>
      </c>
      <c r="H61" s="30"/>
      <c r="I61" s="30"/>
      <c r="J61" s="30"/>
      <c r="K61" s="30"/>
      <c r="L61" s="30"/>
      <c r="M61" s="67"/>
      <c r="N61" s="65"/>
      <c r="O61" s="890" t="str">
        <f>'حسابداری پیشرفته 1و2'!D60</f>
        <v>کالای دریافتی</v>
      </c>
      <c r="P61" s="793"/>
      <c r="Q61" s="100"/>
      <c r="R61" s="100"/>
      <c r="S61" s="100">
        <f>'حسابداری پیشرفته 1و2'!G60</f>
        <v>36</v>
      </c>
      <c r="T61" s="100"/>
      <c r="U61" s="100"/>
      <c r="V61" s="100">
        <f>'حسابداری پیشرفته 1و2'!L76</f>
        <v>36</v>
      </c>
      <c r="W61" s="100">
        <f>IF(S61=V61,S61-V61,_)</f>
        <v>0</v>
      </c>
      <c r="X61" s="101"/>
      <c r="Y61" s="67"/>
      <c r="Z61" s="160"/>
      <c r="AN61" s="159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674" t="str">
        <f>AY57</f>
        <v>شرکت ج</v>
      </c>
      <c r="AZ61" s="674"/>
      <c r="BA61" s="674"/>
      <c r="BB61" s="211"/>
      <c r="BC61" s="209"/>
      <c r="BD61" s="209">
        <v>40000</v>
      </c>
      <c r="BE61" s="211">
        <f>0.8*BD61</f>
        <v>32000</v>
      </c>
      <c r="BF61" s="211"/>
      <c r="BG61" s="210">
        <f>0.2*BD61</f>
        <v>8000</v>
      </c>
      <c r="BH61" s="211"/>
      <c r="BI61" s="56"/>
      <c r="BJ61" s="160"/>
    </row>
    <row r="62" spans="2:62" ht="15" thickTop="1">
      <c r="B62" s="159"/>
      <c r="C62" s="65"/>
      <c r="D62" s="843" t="s">
        <v>130</v>
      </c>
      <c r="E62" s="844"/>
      <c r="F62" s="104">
        <v>25</v>
      </c>
      <c r="G62" s="109">
        <v>10</v>
      </c>
      <c r="H62" s="30"/>
      <c r="I62" s="815" t="s">
        <v>157</v>
      </c>
      <c r="J62" s="816"/>
      <c r="K62" s="816"/>
      <c r="L62" s="817"/>
      <c r="M62" s="67"/>
      <c r="N62" s="65"/>
      <c r="O62" s="890" t="str">
        <f>'حسابداری پیشرفته 1و2'!D61</f>
        <v>موجودی کالا 12/29</v>
      </c>
      <c r="P62" s="793"/>
      <c r="Q62" s="100"/>
      <c r="R62" s="100">
        <f>'حسابداری پیشرفته 1و2'!F61</f>
        <v>25</v>
      </c>
      <c r="S62" s="100"/>
      <c r="T62" s="100">
        <f>'حسابداری پیشرفته 1و2'!G61</f>
        <v>7.2</v>
      </c>
      <c r="U62" s="100"/>
      <c r="V62" s="100"/>
      <c r="W62" s="100"/>
      <c r="X62" s="101">
        <f>SUM(T62,R62)</f>
        <v>32.2</v>
      </c>
      <c r="Y62" s="67"/>
      <c r="Z62" s="160"/>
      <c r="AN62" s="159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719" t="s">
        <v>234</v>
      </c>
      <c r="AZ62" s="719"/>
      <c r="BA62" s="719"/>
      <c r="BB62" s="210"/>
      <c r="BC62" s="210"/>
      <c r="BD62" s="210"/>
      <c r="BE62" s="211"/>
      <c r="BF62" s="211"/>
      <c r="BG62" s="189">
        <f>SUM(BG56:BG61)</f>
        <v>55000</v>
      </c>
      <c r="BH62" s="210">
        <f>BG62</f>
        <v>55000</v>
      </c>
      <c r="BI62" s="56"/>
      <c r="BJ62" s="160"/>
    </row>
    <row r="63" spans="2:62" ht="15.75" thickBot="1">
      <c r="B63" s="159"/>
      <c r="C63" s="65"/>
      <c r="D63" s="843" t="s">
        <v>131</v>
      </c>
      <c r="E63" s="844"/>
      <c r="F63" s="104">
        <v>57</v>
      </c>
      <c r="G63" s="109"/>
      <c r="H63" s="30"/>
      <c r="I63" s="818"/>
      <c r="J63" s="819"/>
      <c r="K63" s="819"/>
      <c r="L63" s="820"/>
      <c r="M63" s="67"/>
      <c r="N63" s="65"/>
      <c r="O63" s="890" t="str">
        <f>'حسابداری پیشرفته 1و2'!D62</f>
        <v>هزینه های عملیاتی</v>
      </c>
      <c r="P63" s="793"/>
      <c r="Q63" s="100">
        <f>'حسابداری پیشرفته 1و2'!F62</f>
        <v>25</v>
      </c>
      <c r="R63" s="100"/>
      <c r="S63" s="100">
        <f>'حسابداری پیشرفته 1و2'!G62</f>
        <v>10</v>
      </c>
      <c r="T63" s="100"/>
      <c r="U63" s="100"/>
      <c r="V63" s="100"/>
      <c r="W63" s="100">
        <f>SUM(S63,Q63)</f>
        <v>35</v>
      </c>
      <c r="X63" s="101"/>
      <c r="Y63" s="67"/>
      <c r="Z63" s="160"/>
      <c r="AN63" s="159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32" t="s">
        <v>59</v>
      </c>
      <c r="AZ63" s="532"/>
      <c r="BA63" s="532"/>
      <c r="BB63" s="208">
        <f>SUM(BB52:BB62)</f>
        <v>835000</v>
      </c>
      <c r="BC63" s="208">
        <f>SUM(BC52:BC62)</f>
        <v>410000</v>
      </c>
      <c r="BD63" s="208">
        <f>SUM(BD52:BD62)</f>
        <v>165000</v>
      </c>
      <c r="BE63" s="216"/>
      <c r="BF63" s="216"/>
      <c r="BG63" s="216"/>
      <c r="BH63" s="214">
        <f>SUM(BH52:BH62)</f>
        <v>1044000</v>
      </c>
      <c r="BI63" s="56"/>
      <c r="BJ63" s="160"/>
    </row>
    <row r="64" spans="2:62" ht="15" thickTop="1">
      <c r="B64" s="159"/>
      <c r="C64" s="65"/>
      <c r="D64" s="843" t="s">
        <v>3</v>
      </c>
      <c r="E64" s="844"/>
      <c r="F64" s="104">
        <v>43</v>
      </c>
      <c r="G64" s="109">
        <v>14</v>
      </c>
      <c r="H64" s="30"/>
      <c r="I64" s="818"/>
      <c r="J64" s="819"/>
      <c r="K64" s="819"/>
      <c r="L64" s="820"/>
      <c r="M64" s="67"/>
      <c r="N64" s="65"/>
      <c r="O64" s="890" t="str">
        <f>'حسابداری پیشرفته 1و2'!P20</f>
        <v>جمع</v>
      </c>
      <c r="P64" s="793"/>
      <c r="Q64" s="100">
        <f>SUM(Q58:Q59,Q63)</f>
        <v>140</v>
      </c>
      <c r="R64" s="100">
        <f>SUM(R57,R60,R62)</f>
        <v>155</v>
      </c>
      <c r="S64" s="100">
        <f>SUM(S63,S61,S59,S58)</f>
        <v>60.4</v>
      </c>
      <c r="T64" s="100">
        <f>SUM(T57,T60,T62)</f>
        <v>67.2</v>
      </c>
      <c r="U64" s="100"/>
      <c r="V64" s="100"/>
      <c r="W64" s="100">
        <f>SUM(W58:W63)</f>
        <v>163</v>
      </c>
      <c r="X64" s="101">
        <f>SUM(X57:X63)</f>
        <v>192.2</v>
      </c>
      <c r="Y64" s="67"/>
      <c r="Z64" s="160"/>
      <c r="AN64" s="159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160"/>
    </row>
    <row r="65" spans="2:62" ht="15" thickBot="1">
      <c r="B65" s="159"/>
      <c r="C65" s="65"/>
      <c r="D65" s="843" t="s">
        <v>134</v>
      </c>
      <c r="E65" s="844"/>
      <c r="F65" s="104">
        <v>20</v>
      </c>
      <c r="G65" s="109">
        <v>25</v>
      </c>
      <c r="H65" s="30"/>
      <c r="I65" s="871" t="s">
        <v>114</v>
      </c>
      <c r="J65" s="872"/>
      <c r="K65" s="115" t="s">
        <v>126</v>
      </c>
      <c r="L65" s="122" t="s">
        <v>122</v>
      </c>
      <c r="M65" s="67"/>
      <c r="N65" s="65"/>
      <c r="O65" s="890" t="str">
        <f>IF(Q65&gt;0,"سود خالص نقل به انباشته",IF(R65&gt;0,"زیان خالص نقل به انباشته"))</f>
        <v>سود خالص نقل به انباشته</v>
      </c>
      <c r="P65" s="793"/>
      <c r="Q65" s="100">
        <f>IF(R64&gt;Q64,R64-Q64,0)</f>
        <v>15</v>
      </c>
      <c r="R65" s="100">
        <f>IF(Q64&gt;R64,Q64-R64,0)</f>
        <v>0</v>
      </c>
      <c r="S65" s="100">
        <f>IF(T64&gt;S64,T64-S64,0)</f>
        <v>6.800000000000004</v>
      </c>
      <c r="T65" s="100">
        <f>IF(S64&gt;T64,S64-T64,0)</f>
        <v>0</v>
      </c>
      <c r="U65" s="100"/>
      <c r="V65" s="100"/>
      <c r="W65" s="100">
        <f>IF(X64&gt;W64,X64-W64,0)</f>
        <v>29.19999999999999</v>
      </c>
      <c r="X65" s="101">
        <f>IF(W64&gt;X64,W64-X64,0)</f>
        <v>0</v>
      </c>
      <c r="Y65" s="67"/>
      <c r="Z65" s="160"/>
      <c r="AN65" s="177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9"/>
    </row>
    <row r="66" spans="2:26" ht="15">
      <c r="B66" s="159"/>
      <c r="C66" s="65"/>
      <c r="D66" s="843" t="s">
        <v>159</v>
      </c>
      <c r="E66" s="844"/>
      <c r="F66" s="104">
        <v>25</v>
      </c>
      <c r="G66" s="109">
        <v>7.2</v>
      </c>
      <c r="H66" s="30"/>
      <c r="I66" s="911" t="s">
        <v>160</v>
      </c>
      <c r="J66" s="912"/>
      <c r="K66" s="110">
        <v>32.4</v>
      </c>
      <c r="L66" s="126"/>
      <c r="M66" s="67"/>
      <c r="N66" s="65"/>
      <c r="O66" s="893" t="s">
        <v>59</v>
      </c>
      <c r="P66" s="805"/>
      <c r="Q66" s="123">
        <f>SUM(Q64:Q65)</f>
        <v>155</v>
      </c>
      <c r="R66" s="123">
        <f>SUM(R64:R65)</f>
        <v>155</v>
      </c>
      <c r="S66" s="123">
        <f>SUM(S64:S65)</f>
        <v>67.2</v>
      </c>
      <c r="T66" s="123">
        <f>SUM(T64:T65)</f>
        <v>67.2</v>
      </c>
      <c r="U66" s="100"/>
      <c r="V66" s="100"/>
      <c r="W66" s="123">
        <f>SUM(W64:W65)</f>
        <v>192.2</v>
      </c>
      <c r="X66" s="124">
        <f>SUM(X64:X65)</f>
        <v>192.2</v>
      </c>
      <c r="Y66" s="67"/>
      <c r="Z66" s="160"/>
    </row>
    <row r="67" spans="2:26" ht="15">
      <c r="B67" s="159"/>
      <c r="C67" s="65"/>
      <c r="D67" s="843" t="s">
        <v>162</v>
      </c>
      <c r="E67" s="844"/>
      <c r="F67" s="104">
        <v>32.4</v>
      </c>
      <c r="G67" s="109"/>
      <c r="H67" s="30"/>
      <c r="I67" s="811" t="s">
        <v>117</v>
      </c>
      <c r="J67" s="913"/>
      <c r="K67" s="127"/>
      <c r="L67" s="126">
        <v>32.4</v>
      </c>
      <c r="M67" s="67"/>
      <c r="N67" s="65"/>
      <c r="O67" s="893" t="s">
        <v>161</v>
      </c>
      <c r="P67" s="805"/>
      <c r="Q67" s="100"/>
      <c r="R67" s="100"/>
      <c r="S67" s="100"/>
      <c r="T67" s="100"/>
      <c r="U67" s="100"/>
      <c r="V67" s="100"/>
      <c r="W67" s="100"/>
      <c r="X67" s="101"/>
      <c r="Y67" s="67"/>
      <c r="Z67" s="160"/>
    </row>
    <row r="68" spans="2:26" ht="15.75" thickBot="1">
      <c r="B68" s="159"/>
      <c r="C68" s="65"/>
      <c r="D68" s="845" t="s">
        <v>163</v>
      </c>
      <c r="E68" s="846"/>
      <c r="F68" s="104">
        <v>75</v>
      </c>
      <c r="G68" s="109"/>
      <c r="H68" s="30"/>
      <c r="I68" s="813"/>
      <c r="J68" s="873"/>
      <c r="K68" s="116"/>
      <c r="L68" s="128"/>
      <c r="M68" s="67"/>
      <c r="N68" s="65"/>
      <c r="O68" s="890" t="str">
        <f>'حسابداری پیشرفته 1و2'!D63</f>
        <v>سود انباشته 1/1</v>
      </c>
      <c r="P68" s="793"/>
      <c r="Q68" s="100"/>
      <c r="R68" s="100">
        <f>'حسابداری پیشرفته 1و2'!F63</f>
        <v>57</v>
      </c>
      <c r="S68" s="100"/>
      <c r="T68" s="100"/>
      <c r="U68" s="100"/>
      <c r="V68" s="100"/>
      <c r="W68" s="100"/>
      <c r="X68" s="101">
        <f>SUM(R68,T68)</f>
        <v>57</v>
      </c>
      <c r="Y68" s="67"/>
      <c r="Z68" s="160"/>
    </row>
    <row r="69" spans="2:26" ht="16.5" thickBot="1" thickTop="1">
      <c r="B69" s="159"/>
      <c r="C69" s="65"/>
      <c r="D69" s="843" t="s">
        <v>165</v>
      </c>
      <c r="E69" s="844"/>
      <c r="F69" s="104">
        <v>54</v>
      </c>
      <c r="G69" s="109"/>
      <c r="H69" s="30"/>
      <c r="I69" s="30"/>
      <c r="J69" s="30"/>
      <c r="K69" s="30"/>
      <c r="L69" s="30"/>
      <c r="M69" s="67"/>
      <c r="N69" s="65"/>
      <c r="O69" s="890" t="str">
        <f>IF(O65="سود خالص نقل به انباشته","سود خالص نقل از بالا",IF(O65="زیان خالص نقل به انباشته","زیان خالص نقل از بالا"))</f>
        <v>سود خالص نقل از بالا</v>
      </c>
      <c r="P69" s="793"/>
      <c r="Q69" s="100">
        <f>IF(R65&gt;0,R65,0)</f>
        <v>0</v>
      </c>
      <c r="R69" s="100">
        <f>IF(Q65&gt;0,Q65,0)</f>
        <v>15</v>
      </c>
      <c r="S69" s="100">
        <f>IF(T65&gt;0,T65,0)</f>
        <v>0</v>
      </c>
      <c r="T69" s="100">
        <f>IF(S65&gt;0,S65,0)</f>
        <v>6.800000000000004</v>
      </c>
      <c r="U69" s="100"/>
      <c r="V69" s="100"/>
      <c r="W69" s="100"/>
      <c r="X69" s="101">
        <f>W65</f>
        <v>29.19999999999999</v>
      </c>
      <c r="Y69" s="67"/>
      <c r="Z69" s="160"/>
    </row>
    <row r="70" spans="2:26" ht="15.75" thickTop="1">
      <c r="B70" s="159"/>
      <c r="C70" s="65"/>
      <c r="D70" s="849" t="s">
        <v>166</v>
      </c>
      <c r="E70" s="850"/>
      <c r="F70" s="132">
        <v>20</v>
      </c>
      <c r="G70" s="133">
        <v>7</v>
      </c>
      <c r="H70" s="30"/>
      <c r="I70" s="815" t="s">
        <v>167</v>
      </c>
      <c r="J70" s="816"/>
      <c r="K70" s="816"/>
      <c r="L70" s="817"/>
      <c r="M70" s="67"/>
      <c r="N70" s="65"/>
      <c r="O70" s="893" t="str">
        <f>IF(R70&gt;0,"سود انباشته نقل به ترازنامه","زیان انباشته نقل به ترازنامه")</f>
        <v>سود انباشته نقل به ترازنامه</v>
      </c>
      <c r="P70" s="805"/>
      <c r="Q70" s="100">
        <f>IF(Q69&gt;R68,Q69-R68,0)</f>
        <v>0</v>
      </c>
      <c r="R70" s="123">
        <f>IF(R69&gt;0,R68+R69,IF(Q69&lt;R68,R68-Q69,0))</f>
        <v>72</v>
      </c>
      <c r="S70" s="100">
        <f>IF(S69&gt;T68,S69-T68,0)</f>
        <v>0</v>
      </c>
      <c r="T70" s="123">
        <f>IF(T69&gt;0,T68+T69,IF(S69&lt;T68,T68-S69,0))</f>
        <v>6.800000000000004</v>
      </c>
      <c r="U70" s="100"/>
      <c r="V70" s="100"/>
      <c r="W70" s="100"/>
      <c r="X70" s="124">
        <f>SUM(X68:X69)</f>
        <v>86.19999999999999</v>
      </c>
      <c r="Y70" s="67"/>
      <c r="Z70" s="160"/>
    </row>
    <row r="71" spans="2:26" ht="15">
      <c r="B71" s="159"/>
      <c r="C71" s="65"/>
      <c r="D71" s="843" t="s">
        <v>169</v>
      </c>
      <c r="E71" s="844"/>
      <c r="F71" s="104">
        <v>50</v>
      </c>
      <c r="G71" s="135"/>
      <c r="H71" s="30"/>
      <c r="I71" s="818"/>
      <c r="J71" s="819"/>
      <c r="K71" s="819"/>
      <c r="L71" s="820"/>
      <c r="M71" s="67"/>
      <c r="N71" s="65"/>
      <c r="O71" s="893" t="s">
        <v>168</v>
      </c>
      <c r="P71" s="805"/>
      <c r="Q71" s="100"/>
      <c r="R71" s="100"/>
      <c r="S71" s="100"/>
      <c r="T71" s="100"/>
      <c r="U71" s="100"/>
      <c r="V71" s="100"/>
      <c r="W71" s="100"/>
      <c r="X71" s="101"/>
      <c r="Y71" s="67"/>
      <c r="Z71" s="160"/>
    </row>
    <row r="72" spans="2:26" ht="15.75" thickBot="1">
      <c r="B72" s="159"/>
      <c r="C72" s="65"/>
      <c r="D72" s="843" t="s">
        <v>141</v>
      </c>
      <c r="E72" s="844"/>
      <c r="F72" s="104"/>
      <c r="G72" s="109">
        <v>32.4</v>
      </c>
      <c r="H72" s="30"/>
      <c r="I72" s="821"/>
      <c r="J72" s="822"/>
      <c r="K72" s="822"/>
      <c r="L72" s="823"/>
      <c r="M72" s="67"/>
      <c r="N72" s="65"/>
      <c r="O72" s="890" t="str">
        <f>'حسابداری پیشرفته 1و2'!D64</f>
        <v>صندوق</v>
      </c>
      <c r="P72" s="793"/>
      <c r="Q72" s="100">
        <f>'حسابداری پیشرفته 1و2'!F64</f>
        <v>43</v>
      </c>
      <c r="R72" s="100"/>
      <c r="S72" s="100">
        <f>'حسابداری پیشرفته 1و2'!G64</f>
        <v>14</v>
      </c>
      <c r="T72" s="100"/>
      <c r="U72" s="100"/>
      <c r="V72" s="100"/>
      <c r="W72" s="100">
        <f>SUM(S72,Q72)</f>
        <v>57</v>
      </c>
      <c r="X72" s="101"/>
      <c r="Y72" s="67"/>
      <c r="Z72" s="160"/>
    </row>
    <row r="73" spans="2:26" ht="15.75" thickTop="1">
      <c r="B73" s="159"/>
      <c r="C73" s="65"/>
      <c r="D73" s="843" t="s">
        <v>171</v>
      </c>
      <c r="E73" s="844"/>
      <c r="F73" s="104">
        <v>7.4</v>
      </c>
      <c r="G73" s="109"/>
      <c r="H73" s="30"/>
      <c r="I73" s="885" t="s">
        <v>114</v>
      </c>
      <c r="J73" s="856"/>
      <c r="K73" s="112" t="s">
        <v>126</v>
      </c>
      <c r="L73" s="138" t="s">
        <v>122</v>
      </c>
      <c r="M73" s="67"/>
      <c r="N73" s="65"/>
      <c r="O73" s="890" t="str">
        <f>'حسابداری پیشرفته 1و2'!D65</f>
        <v>حسابهای دریافتنی</v>
      </c>
      <c r="P73" s="793"/>
      <c r="Q73" s="100">
        <f>'حسابداری پیشرفته 1و2'!F65</f>
        <v>20</v>
      </c>
      <c r="R73" s="100"/>
      <c r="S73" s="100">
        <f>'حسابداری پیشرفته 1و2'!G65</f>
        <v>25</v>
      </c>
      <c r="T73" s="100"/>
      <c r="U73" s="100"/>
      <c r="V73" s="100"/>
      <c r="W73" s="100">
        <f>SUM(S73,Q73)</f>
        <v>45</v>
      </c>
      <c r="X73" s="101"/>
      <c r="Y73" s="67"/>
      <c r="Z73" s="160"/>
    </row>
    <row r="74" spans="2:26" ht="15.75" thickBot="1">
      <c r="B74" s="159"/>
      <c r="C74" s="65"/>
      <c r="D74" s="847" t="s">
        <v>172</v>
      </c>
      <c r="E74" s="848"/>
      <c r="F74" s="139">
        <v>100</v>
      </c>
      <c r="G74" s="140"/>
      <c r="H74" s="30"/>
      <c r="I74" s="908" t="s">
        <v>127</v>
      </c>
      <c r="J74" s="677"/>
      <c r="K74" s="113">
        <v>30</v>
      </c>
      <c r="L74" s="141"/>
      <c r="M74" s="67"/>
      <c r="N74" s="65"/>
      <c r="O74" s="890" t="str">
        <f>'حسابداری پیشرفته 1و2'!D66</f>
        <v>موجودی کالا 29/12</v>
      </c>
      <c r="P74" s="793"/>
      <c r="Q74" s="100">
        <f>'حسابداری پیشرفته 1و2'!F66</f>
        <v>25</v>
      </c>
      <c r="R74" s="100"/>
      <c r="S74" s="100">
        <f>'حسابداری پیشرفته 1و2'!G66</f>
        <v>7.2</v>
      </c>
      <c r="T74" s="100"/>
      <c r="U74" s="100"/>
      <c r="V74" s="100"/>
      <c r="W74" s="100">
        <f>SUM(S74,Q74)</f>
        <v>32.2</v>
      </c>
      <c r="X74" s="101"/>
      <c r="Y74" s="67"/>
      <c r="Z74" s="160"/>
    </row>
    <row r="75" spans="2:26" ht="15.75" thickTop="1">
      <c r="B75" s="159"/>
      <c r="C75" s="65"/>
      <c r="D75" s="30"/>
      <c r="E75" s="30"/>
      <c r="F75" s="30"/>
      <c r="G75" s="30"/>
      <c r="H75" s="30"/>
      <c r="I75" s="908" t="s">
        <v>171</v>
      </c>
      <c r="J75" s="677"/>
      <c r="K75" s="113">
        <v>6</v>
      </c>
      <c r="L75" s="141"/>
      <c r="M75" s="67"/>
      <c r="N75" s="65"/>
      <c r="O75" s="890" t="str">
        <f>'حسابداری پیشرفته 1و2'!D67</f>
        <v>شعبه </v>
      </c>
      <c r="P75" s="793"/>
      <c r="Q75" s="100">
        <f>'حسابداری پیشرفته 1و2'!F67</f>
        <v>32.4</v>
      </c>
      <c r="R75" s="100"/>
      <c r="S75" s="100"/>
      <c r="T75" s="100"/>
      <c r="U75" s="100"/>
      <c r="V75" s="100">
        <f>'حسابداری پیشرفته 1و2'!L67</f>
        <v>32.4</v>
      </c>
      <c r="W75" s="100">
        <f>Q75-V75</f>
        <v>0</v>
      </c>
      <c r="X75" s="101"/>
      <c r="Y75" s="67"/>
      <c r="Z75" s="160"/>
    </row>
    <row r="76" spans="2:26" ht="15.75" thickBot="1">
      <c r="B76" s="159"/>
      <c r="C76" s="65"/>
      <c r="D76" s="30"/>
      <c r="E76" s="30"/>
      <c r="F76" s="30"/>
      <c r="G76" s="30"/>
      <c r="H76" s="30"/>
      <c r="I76" s="909" t="s">
        <v>128</v>
      </c>
      <c r="J76" s="910"/>
      <c r="K76" s="116"/>
      <c r="L76" s="117">
        <v>36</v>
      </c>
      <c r="M76" s="67"/>
      <c r="N76" s="65"/>
      <c r="O76" s="890" t="str">
        <f>'حسابداری پیشرفته 1و2'!D68</f>
        <v>اموال</v>
      </c>
      <c r="P76" s="793"/>
      <c r="Q76" s="100">
        <f>'حسابداری پیشرفته 1و2'!F68</f>
        <v>75</v>
      </c>
      <c r="R76" s="100"/>
      <c r="S76" s="100">
        <f>'حسابداری پیشرفته 1و2'!G68</f>
        <v>0</v>
      </c>
      <c r="T76" s="100"/>
      <c r="U76" s="100"/>
      <c r="V76" s="100"/>
      <c r="W76" s="100">
        <f>SUM(S76,Q76)</f>
        <v>75</v>
      </c>
      <c r="X76" s="101"/>
      <c r="Y76" s="67"/>
      <c r="Z76" s="160"/>
    </row>
    <row r="77" spans="2:26" ht="15.75" thickTop="1">
      <c r="B77" s="159"/>
      <c r="C77" s="65"/>
      <c r="D77" s="876" t="s">
        <v>173</v>
      </c>
      <c r="E77" s="877"/>
      <c r="F77" s="877"/>
      <c r="G77" s="878"/>
      <c r="H77" s="30"/>
      <c r="I77" s="30"/>
      <c r="J77" s="30"/>
      <c r="K77" s="30"/>
      <c r="L77" s="30"/>
      <c r="M77" s="67"/>
      <c r="N77" s="65"/>
      <c r="O77" s="890" t="str">
        <f>'حسابداری پیشرفته 1و2'!D69</f>
        <v>سایر دارایی ها</v>
      </c>
      <c r="P77" s="793"/>
      <c r="Q77" s="100">
        <f>'حسابداری پیشرفته 1و2'!F69</f>
        <v>54</v>
      </c>
      <c r="R77" s="100"/>
      <c r="S77" s="100">
        <f>'حسابداری پیشرفته 1و2'!G69</f>
        <v>0</v>
      </c>
      <c r="T77" s="100"/>
      <c r="U77" s="100"/>
      <c r="V77" s="100"/>
      <c r="W77" s="100">
        <f>SUM(S77,Q77)</f>
        <v>54</v>
      </c>
      <c r="X77" s="101"/>
      <c r="Y77" s="67"/>
      <c r="Z77" s="160"/>
    </row>
    <row r="78" spans="2:26" ht="15">
      <c r="B78" s="159"/>
      <c r="C78" s="65"/>
      <c r="D78" s="879"/>
      <c r="E78" s="880"/>
      <c r="F78" s="880"/>
      <c r="G78" s="881"/>
      <c r="H78" s="30"/>
      <c r="I78" s="30"/>
      <c r="J78" s="30"/>
      <c r="K78" s="30"/>
      <c r="L78" s="30"/>
      <c r="M78" s="67"/>
      <c r="N78" s="65"/>
      <c r="O78" s="890" t="str">
        <f>'حسابداری پیشرفته 1و2'!D70</f>
        <v>بدهی جاری</v>
      </c>
      <c r="P78" s="793"/>
      <c r="Q78" s="100"/>
      <c r="R78" s="100">
        <f>'حسابداری پیشرفته 1و2'!F70</f>
        <v>20</v>
      </c>
      <c r="S78" s="100"/>
      <c r="T78" s="100">
        <f>'حسابداری پیشرفته 1و2'!G70</f>
        <v>7</v>
      </c>
      <c r="U78" s="100"/>
      <c r="V78" s="100"/>
      <c r="W78" s="100"/>
      <c r="X78" s="101">
        <f>SUM(R78,T78)</f>
        <v>27</v>
      </c>
      <c r="Y78" s="67"/>
      <c r="Z78" s="160"/>
    </row>
    <row r="79" spans="2:26" ht="15.75" thickBot="1">
      <c r="B79" s="159"/>
      <c r="C79" s="65"/>
      <c r="D79" s="882"/>
      <c r="E79" s="883"/>
      <c r="F79" s="883"/>
      <c r="G79" s="884"/>
      <c r="H79" s="30"/>
      <c r="I79" s="30"/>
      <c r="J79" s="30"/>
      <c r="K79" s="30"/>
      <c r="L79" s="30"/>
      <c r="M79" s="67"/>
      <c r="N79" s="65"/>
      <c r="O79" s="890" t="str">
        <f>'حسابداری پیشرفته 1و2'!D71</f>
        <v>بدهی بلند مدت</v>
      </c>
      <c r="P79" s="793"/>
      <c r="Q79" s="100"/>
      <c r="R79" s="100">
        <f>'حسابداری پیشرفته 1و2'!F71</f>
        <v>50</v>
      </c>
      <c r="S79" s="100"/>
      <c r="T79" s="100">
        <f>'حسابداری پیشرفته 1و2'!G71</f>
        <v>0</v>
      </c>
      <c r="U79" s="100"/>
      <c r="V79" s="100"/>
      <c r="W79" s="100"/>
      <c r="X79" s="101">
        <f>SUM(T79,R79)</f>
        <v>50</v>
      </c>
      <c r="Y79" s="67"/>
      <c r="Z79" s="160"/>
    </row>
    <row r="80" spans="2:26" ht="17.25" thickBot="1" thickTop="1">
      <c r="B80" s="159"/>
      <c r="C80" s="65"/>
      <c r="D80" s="885" t="s">
        <v>114</v>
      </c>
      <c r="E80" s="856"/>
      <c r="F80" s="112" t="s">
        <v>126</v>
      </c>
      <c r="G80" s="138" t="s">
        <v>122</v>
      </c>
      <c r="H80" s="30"/>
      <c r="I80" s="30"/>
      <c r="J80" s="30"/>
      <c r="K80" s="30"/>
      <c r="L80" s="904"/>
      <c r="M80" s="905"/>
      <c r="N80" s="65"/>
      <c r="O80" s="890" t="str">
        <f>'حسابداری پیشرفته 1و2'!D72</f>
        <v>اداره مرکزی</v>
      </c>
      <c r="P80" s="793"/>
      <c r="Q80" s="100"/>
      <c r="R80" s="100"/>
      <c r="S80" s="100"/>
      <c r="T80" s="100">
        <f>'حسابداری پیشرفته 1و2'!G72</f>
        <v>32.4</v>
      </c>
      <c r="U80" s="100">
        <f>'حسابداری پیشرفته 1و2'!K66</f>
        <v>32.4</v>
      </c>
      <c r="V80" s="100"/>
      <c r="W80" s="100"/>
      <c r="X80" s="101">
        <f>U80-T80</f>
        <v>0</v>
      </c>
      <c r="Y80" s="67"/>
      <c r="Z80" s="160"/>
    </row>
    <row r="81" spans="2:26" ht="15.75" thickBot="1">
      <c r="B81" s="159"/>
      <c r="C81" s="65"/>
      <c r="D81" s="886" t="s">
        <v>174</v>
      </c>
      <c r="E81" s="887"/>
      <c r="F81" s="110">
        <v>1.2</v>
      </c>
      <c r="G81" s="143"/>
      <c r="H81" s="30"/>
      <c r="I81" s="30"/>
      <c r="J81" s="30"/>
      <c r="K81" s="30"/>
      <c r="L81" s="906"/>
      <c r="M81" s="907"/>
      <c r="N81" s="65"/>
      <c r="O81" s="890" t="str">
        <f>'حسابداری پیشرفته 1و2'!D73</f>
        <v>سود تحقق نیافته</v>
      </c>
      <c r="P81" s="793"/>
      <c r="Q81" s="100"/>
      <c r="R81" s="100">
        <f>'حسابداری پیشرفته 1و2'!F73</f>
        <v>7.4</v>
      </c>
      <c r="S81" s="100"/>
      <c r="T81" s="100"/>
      <c r="U81" s="100">
        <f>'حسابداری پیشرفته 1و2'!K58+'حسابداری پیشرفته 1و2'!K75</f>
        <v>7.4</v>
      </c>
      <c r="V81" s="100"/>
      <c r="W81" s="100"/>
      <c r="X81" s="101">
        <f>R81-U81</f>
        <v>0</v>
      </c>
      <c r="Y81" s="67"/>
      <c r="Z81" s="160"/>
    </row>
    <row r="82" spans="2:26" ht="15">
      <c r="B82" s="159"/>
      <c r="C82" s="65"/>
      <c r="D82" s="888" t="s">
        <v>175</v>
      </c>
      <c r="E82" s="889"/>
      <c r="F82" s="127"/>
      <c r="G82" s="114">
        <v>1.2</v>
      </c>
      <c r="H82" s="30"/>
      <c r="I82" s="30"/>
      <c r="J82" s="30"/>
      <c r="K82" s="30"/>
      <c r="L82" s="30"/>
      <c r="M82" s="67"/>
      <c r="N82" s="65"/>
      <c r="O82" s="890" t="str">
        <f>'حسابداری پیشرفته 1و2'!D74</f>
        <v>سهام عادی</v>
      </c>
      <c r="P82" s="793"/>
      <c r="Q82" s="100"/>
      <c r="R82" s="100">
        <f>'حسابداری پیشرفته 1و2'!F74</f>
        <v>100</v>
      </c>
      <c r="S82" s="100"/>
      <c r="T82" s="100">
        <f>'حسابداری پیشرفته 1و2'!G74</f>
        <v>0</v>
      </c>
      <c r="U82" s="100"/>
      <c r="V82" s="100"/>
      <c r="W82" s="100"/>
      <c r="X82" s="101">
        <f>SUM(T82,R82)</f>
        <v>100</v>
      </c>
      <c r="Y82" s="67"/>
      <c r="Z82" s="160"/>
    </row>
    <row r="83" spans="2:26" ht="15.75" thickBot="1">
      <c r="B83" s="159"/>
      <c r="C83" s="65"/>
      <c r="D83" s="874"/>
      <c r="E83" s="875"/>
      <c r="F83" s="144"/>
      <c r="G83" s="145"/>
      <c r="H83" s="30"/>
      <c r="I83" s="30"/>
      <c r="J83" s="30"/>
      <c r="K83" s="30"/>
      <c r="L83" s="30"/>
      <c r="M83" s="67"/>
      <c r="N83" s="65"/>
      <c r="O83" s="890" t="s">
        <v>143</v>
      </c>
      <c r="P83" s="793"/>
      <c r="Q83" s="100">
        <f>Q70</f>
        <v>0</v>
      </c>
      <c r="R83" s="100">
        <f>R70</f>
        <v>72</v>
      </c>
      <c r="S83" s="100">
        <f>S70</f>
        <v>0</v>
      </c>
      <c r="T83" s="100">
        <f>T70</f>
        <v>6.800000000000004</v>
      </c>
      <c r="U83" s="100"/>
      <c r="V83" s="100"/>
      <c r="W83" s="100"/>
      <c r="X83" s="101">
        <f>X70</f>
        <v>86.19999999999999</v>
      </c>
      <c r="Y83" s="67"/>
      <c r="Z83" s="160"/>
    </row>
    <row r="84" spans="2:26" ht="16.5" thickBot="1" thickTop="1">
      <c r="B84" s="159"/>
      <c r="C84" s="65"/>
      <c r="D84" s="30"/>
      <c r="E84" s="30"/>
      <c r="F84" s="30"/>
      <c r="G84" s="30"/>
      <c r="H84" s="30"/>
      <c r="I84" s="30"/>
      <c r="J84" s="30"/>
      <c r="K84" s="30"/>
      <c r="L84" s="894"/>
      <c r="M84" s="895"/>
      <c r="N84" s="65"/>
      <c r="O84" s="891" t="s">
        <v>144</v>
      </c>
      <c r="P84" s="892"/>
      <c r="Q84" s="146">
        <f>SUM(Q72:Q83)</f>
        <v>249.4</v>
      </c>
      <c r="R84" s="146">
        <f>SUM(R72:R83)</f>
        <v>249.4</v>
      </c>
      <c r="S84" s="147">
        <f>SUM(S72:S83)</f>
        <v>46.2</v>
      </c>
      <c r="T84" s="147">
        <f>SUM(T72:T83)</f>
        <v>46.2</v>
      </c>
      <c r="U84" s="147">
        <f>SUM(U56:U83)</f>
        <v>69.8</v>
      </c>
      <c r="V84" s="147">
        <f>SUM(V56:V83)</f>
        <v>69.8</v>
      </c>
      <c r="W84" s="148">
        <f>SUM(W72:W83)</f>
        <v>263.2</v>
      </c>
      <c r="X84" s="149">
        <f>SUM(X72:X83)</f>
        <v>263.2</v>
      </c>
      <c r="Y84" s="67"/>
      <c r="Z84" s="160"/>
    </row>
    <row r="85" spans="2:26" ht="16.5" thickBot="1" thickTop="1">
      <c r="B85" s="159"/>
      <c r="C85" s="84"/>
      <c r="D85" s="53"/>
      <c r="E85" s="53"/>
      <c r="F85" s="53"/>
      <c r="G85" s="53"/>
      <c r="H85" s="53"/>
      <c r="I85" s="53"/>
      <c r="J85" s="53"/>
      <c r="K85" s="53"/>
      <c r="L85" s="896"/>
      <c r="M85" s="897"/>
      <c r="N85" s="65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67"/>
      <c r="Z85" s="160"/>
    </row>
    <row r="86" spans="2:26" ht="16.5" thickBot="1" thickTop="1">
      <c r="B86" s="159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84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87"/>
      <c r="Z86" s="160"/>
    </row>
    <row r="87" spans="2:26" ht="15.75" thickTop="1">
      <c r="B87" s="159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160"/>
    </row>
    <row r="88" spans="2:26" ht="15.75" thickBo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9"/>
    </row>
    <row r="108" ht="13.5" customHeight="1"/>
    <row r="109" ht="12.75" customHeight="1"/>
    <row r="110" ht="13.5" customHeight="1"/>
  </sheetData>
  <mergeCells count="271">
    <mergeCell ref="C2:D3"/>
    <mergeCell ref="C47:D48"/>
    <mergeCell ref="L80:M80"/>
    <mergeCell ref="L81:M81"/>
    <mergeCell ref="I73:J73"/>
    <mergeCell ref="I74:J74"/>
    <mergeCell ref="I75:J75"/>
    <mergeCell ref="I76:J76"/>
    <mergeCell ref="I66:J66"/>
    <mergeCell ref="I67:J67"/>
    <mergeCell ref="X49:Y49"/>
    <mergeCell ref="L84:M85"/>
    <mergeCell ref="O51:X53"/>
    <mergeCell ref="O54:P55"/>
    <mergeCell ref="Q54:R54"/>
    <mergeCell ref="S54:T54"/>
    <mergeCell ref="U54:V54"/>
    <mergeCell ref="W54:X54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83:P83"/>
    <mergeCell ref="O84:P84"/>
    <mergeCell ref="O79:P79"/>
    <mergeCell ref="O80:P80"/>
    <mergeCell ref="O81:P81"/>
    <mergeCell ref="O82:P82"/>
    <mergeCell ref="D83:E83"/>
    <mergeCell ref="D77:G79"/>
    <mergeCell ref="D80:E80"/>
    <mergeCell ref="D81:E81"/>
    <mergeCell ref="D82:E82"/>
    <mergeCell ref="I70:L72"/>
    <mergeCell ref="I59:J59"/>
    <mergeCell ref="I60:J60"/>
    <mergeCell ref="I65:J65"/>
    <mergeCell ref="I62:L64"/>
    <mergeCell ref="I68:J68"/>
    <mergeCell ref="D51:G53"/>
    <mergeCell ref="D54:E55"/>
    <mergeCell ref="F54:G54"/>
    <mergeCell ref="I58:J58"/>
    <mergeCell ref="I54:L56"/>
    <mergeCell ref="I57:J57"/>
    <mergeCell ref="I50:L52"/>
    <mergeCell ref="D56:E56"/>
    <mergeCell ref="D57:E57"/>
    <mergeCell ref="D58:E58"/>
    <mergeCell ref="D70:E70"/>
    <mergeCell ref="D63:E63"/>
    <mergeCell ref="D64:E64"/>
    <mergeCell ref="D61:E61"/>
    <mergeCell ref="D62:E62"/>
    <mergeCell ref="D72:E72"/>
    <mergeCell ref="D73:E73"/>
    <mergeCell ref="D74:E74"/>
    <mergeCell ref="D71:E71"/>
    <mergeCell ref="D60:E60"/>
    <mergeCell ref="D68:E68"/>
    <mergeCell ref="D69:E69"/>
    <mergeCell ref="D59:E59"/>
    <mergeCell ref="D65:E65"/>
    <mergeCell ref="D66:E66"/>
    <mergeCell ref="D67:E67"/>
    <mergeCell ref="P22:Q22"/>
    <mergeCell ref="P23:Q23"/>
    <mergeCell ref="P24:Q24"/>
    <mergeCell ref="P30:Q30"/>
    <mergeCell ref="P28:Q28"/>
    <mergeCell ref="P29:Q29"/>
    <mergeCell ref="P25:Q25"/>
    <mergeCell ref="D29:E29"/>
    <mergeCell ref="D12:E12"/>
    <mergeCell ref="D13:E13"/>
    <mergeCell ref="D14:E14"/>
    <mergeCell ref="D20:E20"/>
    <mergeCell ref="D21:E21"/>
    <mergeCell ref="D22:E22"/>
    <mergeCell ref="D24:E24"/>
    <mergeCell ref="D18:E18"/>
    <mergeCell ref="D27:E27"/>
    <mergeCell ref="J6:L8"/>
    <mergeCell ref="D6:G8"/>
    <mergeCell ref="F9:G9"/>
    <mergeCell ref="D9:E10"/>
    <mergeCell ref="D11:E11"/>
    <mergeCell ref="D15:E15"/>
    <mergeCell ref="D16:E16"/>
    <mergeCell ref="D17:E17"/>
    <mergeCell ref="D28:E28"/>
    <mergeCell ref="D23:E23"/>
    <mergeCell ref="D19:E19"/>
    <mergeCell ref="D25:E25"/>
    <mergeCell ref="D26:E26"/>
    <mergeCell ref="P34:Q34"/>
    <mergeCell ref="I10:L12"/>
    <mergeCell ref="I13:J13"/>
    <mergeCell ref="I14:J14"/>
    <mergeCell ref="P14:Q14"/>
    <mergeCell ref="P15:Q15"/>
    <mergeCell ref="P16:Q16"/>
    <mergeCell ref="P17:Q17"/>
    <mergeCell ref="P18:Q18"/>
    <mergeCell ref="P19:Q19"/>
    <mergeCell ref="P33:Q33"/>
    <mergeCell ref="P31:Q31"/>
    <mergeCell ref="P32:Q32"/>
    <mergeCell ref="P26:Q26"/>
    <mergeCell ref="AB19:AC19"/>
    <mergeCell ref="I23:J23"/>
    <mergeCell ref="I24:J24"/>
    <mergeCell ref="I15:J15"/>
    <mergeCell ref="I16:J16"/>
    <mergeCell ref="I18:L20"/>
    <mergeCell ref="I21:J21"/>
    <mergeCell ref="I22:J22"/>
    <mergeCell ref="P20:Q20"/>
    <mergeCell ref="P21:Q21"/>
    <mergeCell ref="P40:Q40"/>
    <mergeCell ref="P36:Q36"/>
    <mergeCell ref="P37:Q37"/>
    <mergeCell ref="P38:Q38"/>
    <mergeCell ref="P39:Q39"/>
    <mergeCell ref="P35:Q35"/>
    <mergeCell ref="X10:Y10"/>
    <mergeCell ref="P7:Y9"/>
    <mergeCell ref="P12:Q12"/>
    <mergeCell ref="P13:Q13"/>
    <mergeCell ref="R10:S10"/>
    <mergeCell ref="T10:U10"/>
    <mergeCell ref="V10:W10"/>
    <mergeCell ref="P10:Q11"/>
    <mergeCell ref="P27:Q27"/>
    <mergeCell ref="Y4:Z4"/>
    <mergeCell ref="AB6:AD6"/>
    <mergeCell ref="AB16:AC16"/>
    <mergeCell ref="AB17:AC17"/>
    <mergeCell ref="AB12:AC12"/>
    <mergeCell ref="AB14:AC14"/>
    <mergeCell ref="AB9:AC9"/>
    <mergeCell ref="AB10:AC10"/>
    <mergeCell ref="AB11:AC11"/>
    <mergeCell ref="AB7:AD7"/>
    <mergeCell ref="AB8:AD8"/>
    <mergeCell ref="AB26:AC26"/>
    <mergeCell ref="AB27:AC27"/>
    <mergeCell ref="AB28:AC28"/>
    <mergeCell ref="AB23:AD23"/>
    <mergeCell ref="AB24:AD24"/>
    <mergeCell ref="AB25:AD25"/>
    <mergeCell ref="AB13:AC13"/>
    <mergeCell ref="AB15:AC15"/>
    <mergeCell ref="AB18:AC18"/>
    <mergeCell ref="AG21:AH21"/>
    <mergeCell ref="AG16:AH16"/>
    <mergeCell ref="AG25:AH25"/>
    <mergeCell ref="AG8:AJ8"/>
    <mergeCell ref="AG11:AH11"/>
    <mergeCell ref="AG22:AH22"/>
    <mergeCell ref="AG23:AH23"/>
    <mergeCell ref="AG24:AH24"/>
    <mergeCell ref="AG17:AH17"/>
    <mergeCell ref="AG18:AH18"/>
    <mergeCell ref="AH4:AJ4"/>
    <mergeCell ref="AG20:AH20"/>
    <mergeCell ref="AG19:AH19"/>
    <mergeCell ref="AG9:AJ9"/>
    <mergeCell ref="AG10:AJ10"/>
    <mergeCell ref="AG12:AH12"/>
    <mergeCell ref="AG13:AH13"/>
    <mergeCell ref="AG15:AH15"/>
    <mergeCell ref="AG14:AH14"/>
    <mergeCell ref="AO3:AP4"/>
    <mergeCell ref="AP6:AV6"/>
    <mergeCell ref="AY13:BA13"/>
    <mergeCell ref="AY14:BA14"/>
    <mergeCell ref="AY6:BG6"/>
    <mergeCell ref="AY7:BG7"/>
    <mergeCell ref="AY8:BG8"/>
    <mergeCell ref="AP9:AS9"/>
    <mergeCell ref="AP10:AS10"/>
    <mergeCell ref="AP11:AS11"/>
    <mergeCell ref="AP17:AS17"/>
    <mergeCell ref="AT7:AT8"/>
    <mergeCell ref="AP7:AS8"/>
    <mergeCell ref="AP27:AT27"/>
    <mergeCell ref="AP12:AS12"/>
    <mergeCell ref="AP18:AS18"/>
    <mergeCell ref="AP19:AS19"/>
    <mergeCell ref="AP20:AS20"/>
    <mergeCell ref="AP21:AS21"/>
    <mergeCell ref="AP13:AS13"/>
    <mergeCell ref="AP15:AS15"/>
    <mergeCell ref="AP16:AS16"/>
    <mergeCell ref="AY12:BA12"/>
    <mergeCell ref="AY16:BA16"/>
    <mergeCell ref="AP14:AS14"/>
    <mergeCell ref="AO35:AP36"/>
    <mergeCell ref="AY22:BA22"/>
    <mergeCell ref="AY23:BA23"/>
    <mergeCell ref="AY24:BA24"/>
    <mergeCell ref="AY25:BA25"/>
    <mergeCell ref="AY18:BA18"/>
    <mergeCell ref="AY19:BA19"/>
    <mergeCell ref="AY20:BA20"/>
    <mergeCell ref="AY21:BA21"/>
    <mergeCell ref="AY40:BA40"/>
    <mergeCell ref="AY26:BA26"/>
    <mergeCell ref="AY27:BA27"/>
    <mergeCell ref="AY28:BA28"/>
    <mergeCell ref="AY17:BA17"/>
    <mergeCell ref="BG9:BG10"/>
    <mergeCell ref="BF9:BF10"/>
    <mergeCell ref="BD9:BE9"/>
    <mergeCell ref="BC9:BC10"/>
    <mergeCell ref="AY15:BA15"/>
    <mergeCell ref="BB9:BB10"/>
    <mergeCell ref="AY9:BA10"/>
    <mergeCell ref="AY11:BA11"/>
    <mergeCell ref="AY45:BA45"/>
    <mergeCell ref="AY41:BA41"/>
    <mergeCell ref="AY52:BA52"/>
    <mergeCell ref="AY51:BA51"/>
    <mergeCell ref="AY46:BA46"/>
    <mergeCell ref="AY43:BA43"/>
    <mergeCell ref="AY42:BA42"/>
    <mergeCell ref="AY44:BA44"/>
    <mergeCell ref="AY60:BA60"/>
    <mergeCell ref="AY63:BA63"/>
    <mergeCell ref="AO42:AU42"/>
    <mergeCell ref="AO54:AU54"/>
    <mergeCell ref="AY50:BA50"/>
    <mergeCell ref="AY48:BA48"/>
    <mergeCell ref="AY49:BA49"/>
    <mergeCell ref="AY55:BA55"/>
    <mergeCell ref="AY56:BA56"/>
    <mergeCell ref="AY57:BA57"/>
    <mergeCell ref="AY59:BA59"/>
    <mergeCell ref="AY61:BA61"/>
    <mergeCell ref="AY62:BA62"/>
    <mergeCell ref="BD38:BD39"/>
    <mergeCell ref="BC38:BC39"/>
    <mergeCell ref="BB38:BB39"/>
    <mergeCell ref="AY53:BA53"/>
    <mergeCell ref="AY54:BA54"/>
    <mergeCell ref="AY58:BA58"/>
    <mergeCell ref="AY47:BA47"/>
    <mergeCell ref="BH38:BH39"/>
    <mergeCell ref="BG38:BG39"/>
    <mergeCell ref="BE38:BF38"/>
    <mergeCell ref="AY38:BA39"/>
  </mergeCells>
  <hyperlinks>
    <hyperlink ref="P35:Q36" location="Sheet1!A1" display="بازگشت"/>
    <hyperlink ref="AA64:AA65" location="Sheet1!A1" display="بازگشت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4"/>
  <sheetViews>
    <sheetView rightToLeft="1" zoomScale="85" zoomScaleNormal="85" workbookViewId="0" topLeftCell="A23">
      <selection activeCell="G26" sqref="G26"/>
    </sheetView>
  </sheetViews>
  <sheetFormatPr defaultColWidth="9.140625" defaultRowHeight="12.75"/>
  <cols>
    <col min="5" max="5" width="11.8515625" style="0" bestFit="1" customWidth="1"/>
    <col min="6" max="6" width="12.28125" style="0" customWidth="1"/>
    <col min="7" max="8" width="12.140625" style="0" customWidth="1"/>
    <col min="10" max="10" width="11.28125" style="0" bestFit="1" customWidth="1"/>
    <col min="11" max="11" width="11.7109375" style="0" customWidth="1"/>
    <col min="12" max="12" width="11.28125" style="0" bestFit="1" customWidth="1"/>
  </cols>
  <sheetData>
    <row r="1" ht="13.5" thickBot="1"/>
    <row r="2" spans="2:13" ht="12.75">
      <c r="B2" s="174"/>
      <c r="C2" s="157"/>
      <c r="D2" s="157"/>
      <c r="E2" s="157"/>
      <c r="F2" s="157">
        <v>24000000</v>
      </c>
      <c r="G2" s="157"/>
      <c r="H2" s="157"/>
      <c r="I2" s="157"/>
      <c r="J2" s="157"/>
      <c r="K2" s="157"/>
      <c r="L2" s="157"/>
      <c r="M2" s="158"/>
    </row>
    <row r="3" spans="2:13" ht="12.75">
      <c r="B3" s="159"/>
      <c r="C3" s="658" t="s">
        <v>638</v>
      </c>
      <c r="D3" s="659"/>
      <c r="E3" s="56"/>
      <c r="F3" s="56">
        <v>4000000</v>
      </c>
      <c r="G3" s="56"/>
      <c r="H3" s="433">
        <f>PV(0.08,15,-1)</f>
        <v>8.559478687926376</v>
      </c>
      <c r="I3" s="269" t="s">
        <v>669</v>
      </c>
      <c r="J3" s="56"/>
      <c r="K3" s="56"/>
      <c r="L3" s="56"/>
      <c r="M3" s="160"/>
    </row>
    <row r="4" spans="2:13" ht="13.5" thickBot="1">
      <c r="B4" s="159"/>
      <c r="C4" s="660"/>
      <c r="D4" s="661"/>
      <c r="E4" s="431" t="s">
        <v>670</v>
      </c>
      <c r="F4" s="326">
        <f>F2-F3</f>
        <v>20000000</v>
      </c>
      <c r="G4" s="56"/>
      <c r="H4" s="56"/>
      <c r="I4" s="56"/>
      <c r="J4" s="56"/>
      <c r="K4" s="56"/>
      <c r="L4" s="56"/>
      <c r="M4" s="160"/>
    </row>
    <row r="5" spans="2:13" ht="13.5" thickTop="1">
      <c r="B5" s="159"/>
      <c r="C5" s="56"/>
      <c r="D5" s="56"/>
      <c r="E5" s="56"/>
      <c r="F5" s="56"/>
      <c r="G5" s="56"/>
      <c r="H5" s="56"/>
      <c r="I5" s="56"/>
      <c r="J5" s="56"/>
      <c r="K5" s="56"/>
      <c r="L5" s="56"/>
      <c r="M5" s="160"/>
    </row>
    <row r="6" spans="2:13" ht="12.75">
      <c r="B6" s="159"/>
      <c r="C6" s="56"/>
      <c r="D6" s="643" t="s">
        <v>645</v>
      </c>
      <c r="E6" s="643" t="s">
        <v>646</v>
      </c>
      <c r="F6" s="643" t="s">
        <v>647</v>
      </c>
      <c r="G6" s="643" t="s">
        <v>648</v>
      </c>
      <c r="H6" s="643" t="s">
        <v>649</v>
      </c>
      <c r="I6" s="643" t="s">
        <v>650</v>
      </c>
      <c r="J6" s="643" t="s">
        <v>651</v>
      </c>
      <c r="K6" s="643" t="s">
        <v>652</v>
      </c>
      <c r="L6" s="643" t="s">
        <v>653</v>
      </c>
      <c r="M6" s="160"/>
    </row>
    <row r="7" spans="2:13" ht="12.75">
      <c r="B7" s="159"/>
      <c r="C7" s="56"/>
      <c r="D7" s="643"/>
      <c r="E7" s="643"/>
      <c r="F7" s="643"/>
      <c r="G7" s="643"/>
      <c r="H7" s="643"/>
      <c r="I7" s="643"/>
      <c r="J7" s="643"/>
      <c r="K7" s="643"/>
      <c r="L7" s="643"/>
      <c r="M7" s="160"/>
    </row>
    <row r="8" spans="2:13" ht="12.75">
      <c r="B8" s="159"/>
      <c r="C8" s="56"/>
      <c r="D8" s="425" t="s">
        <v>654</v>
      </c>
      <c r="E8" s="381">
        <v>35048850</v>
      </c>
      <c r="F8" s="381">
        <f>$F$4/$H$3</f>
        <v>2336590.8987204</v>
      </c>
      <c r="G8" s="381">
        <f>E8-H8</f>
        <v>15048850</v>
      </c>
      <c r="H8" s="381">
        <f>F4</f>
        <v>20000000</v>
      </c>
      <c r="I8" s="426">
        <v>0.08</v>
      </c>
      <c r="J8" s="430">
        <f>I8*H8</f>
        <v>1600000</v>
      </c>
      <c r="K8" s="381">
        <f>F8-J8</f>
        <v>736590.8987204</v>
      </c>
      <c r="L8" s="381">
        <f>G8-J8</f>
        <v>13448850</v>
      </c>
      <c r="M8" s="160"/>
    </row>
    <row r="9" spans="2:13" ht="12.75">
      <c r="B9" s="159"/>
      <c r="C9" s="56"/>
      <c r="D9" s="425" t="s">
        <v>655</v>
      </c>
      <c r="E9" s="381">
        <f>E8-F8</f>
        <v>32712259.1012796</v>
      </c>
      <c r="F9" s="381">
        <f aca="true" t="shared" si="0" ref="F9:F22">$F$4/$H$3</f>
        <v>2336590.8987204</v>
      </c>
      <c r="G9" s="381">
        <f>L8</f>
        <v>13448850</v>
      </c>
      <c r="H9" s="381">
        <f aca="true" t="shared" si="1" ref="H9:H22">E9-G9</f>
        <v>19263409.1012796</v>
      </c>
      <c r="I9" s="426">
        <v>0.08</v>
      </c>
      <c r="J9" s="430">
        <f aca="true" t="shared" si="2" ref="J9:J22">I9*H9</f>
        <v>1541072.728102368</v>
      </c>
      <c r="K9" s="381">
        <f aca="true" t="shared" si="3" ref="K9:K22">F9-J9</f>
        <v>795518.1706180319</v>
      </c>
      <c r="L9" s="381">
        <f aca="true" t="shared" si="4" ref="L9:L22">G9-J9</f>
        <v>11907777.271897633</v>
      </c>
      <c r="M9" s="160"/>
    </row>
    <row r="10" spans="2:13" ht="12.75">
      <c r="B10" s="159"/>
      <c r="C10" s="56"/>
      <c r="D10" s="425" t="s">
        <v>656</v>
      </c>
      <c r="E10" s="381">
        <f aca="true" t="shared" si="5" ref="E10:E22">E9-F9</f>
        <v>30375668.202559203</v>
      </c>
      <c r="F10" s="381">
        <f t="shared" si="0"/>
        <v>2336590.8987204</v>
      </c>
      <c r="G10" s="381">
        <f aca="true" t="shared" si="6" ref="G10:G22">L9</f>
        <v>11907777.271897633</v>
      </c>
      <c r="H10" s="381">
        <f t="shared" si="1"/>
        <v>18467890.93066157</v>
      </c>
      <c r="I10" s="426">
        <v>0.08</v>
      </c>
      <c r="J10" s="430">
        <f t="shared" si="2"/>
        <v>1477431.2744529257</v>
      </c>
      <c r="K10" s="381">
        <f t="shared" si="3"/>
        <v>859159.6242674743</v>
      </c>
      <c r="L10" s="381">
        <f t="shared" si="4"/>
        <v>10430345.997444708</v>
      </c>
      <c r="M10" s="160"/>
    </row>
    <row r="11" spans="2:13" ht="12.75">
      <c r="B11" s="159"/>
      <c r="C11" s="56"/>
      <c r="D11" s="425" t="s">
        <v>657</v>
      </c>
      <c r="E11" s="381">
        <f t="shared" si="5"/>
        <v>28039077.303838804</v>
      </c>
      <c r="F11" s="381">
        <f t="shared" si="0"/>
        <v>2336590.8987204</v>
      </c>
      <c r="G11" s="381">
        <f t="shared" si="6"/>
        <v>10430345.997444708</v>
      </c>
      <c r="H11" s="381">
        <f t="shared" si="1"/>
        <v>17608731.306394096</v>
      </c>
      <c r="I11" s="426">
        <v>0.08</v>
      </c>
      <c r="J11" s="430">
        <f t="shared" si="2"/>
        <v>1408698.5045115277</v>
      </c>
      <c r="K11" s="381">
        <f t="shared" si="3"/>
        <v>927892.3942088722</v>
      </c>
      <c r="L11" s="381">
        <f t="shared" si="4"/>
        <v>9021647.49293318</v>
      </c>
      <c r="M11" s="160"/>
    </row>
    <row r="12" spans="2:13" ht="12.75">
      <c r="B12" s="159"/>
      <c r="C12" s="56"/>
      <c r="D12" s="425" t="s">
        <v>658</v>
      </c>
      <c r="E12" s="381">
        <f t="shared" si="5"/>
        <v>25702486.405118406</v>
      </c>
      <c r="F12" s="381">
        <f t="shared" si="0"/>
        <v>2336590.8987204</v>
      </c>
      <c r="G12" s="381">
        <f t="shared" si="6"/>
        <v>9021647.49293318</v>
      </c>
      <c r="H12" s="381">
        <f t="shared" si="1"/>
        <v>16680838.912185226</v>
      </c>
      <c r="I12" s="426">
        <v>0.08</v>
      </c>
      <c r="J12" s="430">
        <f t="shared" si="2"/>
        <v>1334467.112974818</v>
      </c>
      <c r="K12" s="381">
        <f t="shared" si="3"/>
        <v>1002123.7857455818</v>
      </c>
      <c r="L12" s="381">
        <f t="shared" si="4"/>
        <v>7687180.379958362</v>
      </c>
      <c r="M12" s="160"/>
    </row>
    <row r="13" spans="2:13" ht="12.75">
      <c r="B13" s="159"/>
      <c r="C13" s="56"/>
      <c r="D13" s="425" t="s">
        <v>659</v>
      </c>
      <c r="E13" s="381">
        <f t="shared" si="5"/>
        <v>23365895.506398007</v>
      </c>
      <c r="F13" s="381">
        <f t="shared" si="0"/>
        <v>2336590.8987204</v>
      </c>
      <c r="G13" s="381">
        <f t="shared" si="6"/>
        <v>7687180.379958362</v>
      </c>
      <c r="H13" s="381">
        <f t="shared" si="1"/>
        <v>15678715.126439646</v>
      </c>
      <c r="I13" s="426">
        <v>0.08</v>
      </c>
      <c r="J13" s="430">
        <f t="shared" si="2"/>
        <v>1254297.2101151717</v>
      </c>
      <c r="K13" s="381">
        <f t="shared" si="3"/>
        <v>1082293.6886052282</v>
      </c>
      <c r="L13" s="381">
        <f t="shared" si="4"/>
        <v>6432883.16984319</v>
      </c>
      <c r="M13" s="160"/>
    </row>
    <row r="14" spans="2:13" ht="12.75">
      <c r="B14" s="159"/>
      <c r="C14" s="56"/>
      <c r="D14" s="425" t="s">
        <v>660</v>
      </c>
      <c r="E14" s="381">
        <f t="shared" si="5"/>
        <v>21029304.60767761</v>
      </c>
      <c r="F14" s="381">
        <f t="shared" si="0"/>
        <v>2336590.8987204</v>
      </c>
      <c r="G14" s="381">
        <f t="shared" si="6"/>
        <v>6432883.16984319</v>
      </c>
      <c r="H14" s="381">
        <f t="shared" si="1"/>
        <v>14596421.43783442</v>
      </c>
      <c r="I14" s="426">
        <v>0.08</v>
      </c>
      <c r="J14" s="430">
        <f t="shared" si="2"/>
        <v>1167713.7150267535</v>
      </c>
      <c r="K14" s="381">
        <f t="shared" si="3"/>
        <v>1168877.1836936465</v>
      </c>
      <c r="L14" s="381">
        <f t="shared" si="4"/>
        <v>5265169.454816436</v>
      </c>
      <c r="M14" s="160"/>
    </row>
    <row r="15" spans="2:13" ht="12.75">
      <c r="B15" s="159"/>
      <c r="C15" s="56"/>
      <c r="D15" s="425" t="s">
        <v>661</v>
      </c>
      <c r="E15" s="381">
        <f t="shared" si="5"/>
        <v>18692713.70895721</v>
      </c>
      <c r="F15" s="381">
        <f t="shared" si="0"/>
        <v>2336590.8987204</v>
      </c>
      <c r="G15" s="381">
        <f t="shared" si="6"/>
        <v>5265169.454816436</v>
      </c>
      <c r="H15" s="381">
        <f t="shared" si="1"/>
        <v>13427544.254140774</v>
      </c>
      <c r="I15" s="426">
        <v>0.08</v>
      </c>
      <c r="J15" s="430">
        <f t="shared" si="2"/>
        <v>1074203.540331262</v>
      </c>
      <c r="K15" s="381">
        <f t="shared" si="3"/>
        <v>1262387.358389138</v>
      </c>
      <c r="L15" s="381">
        <f t="shared" si="4"/>
        <v>4190965.914485174</v>
      </c>
      <c r="M15" s="160"/>
    </row>
    <row r="16" spans="2:13" ht="12.75">
      <c r="B16" s="159"/>
      <c r="C16" s="56"/>
      <c r="D16" s="425" t="s">
        <v>662</v>
      </c>
      <c r="E16" s="381">
        <f t="shared" si="5"/>
        <v>16356122.81023681</v>
      </c>
      <c r="F16" s="381">
        <f t="shared" si="0"/>
        <v>2336590.8987204</v>
      </c>
      <c r="G16" s="381">
        <f t="shared" si="6"/>
        <v>4190965.914485174</v>
      </c>
      <c r="H16" s="381">
        <f t="shared" si="1"/>
        <v>12165156.895751636</v>
      </c>
      <c r="I16" s="426">
        <v>0.08</v>
      </c>
      <c r="J16" s="430">
        <f t="shared" si="2"/>
        <v>973212.551660131</v>
      </c>
      <c r="K16" s="381">
        <f t="shared" si="3"/>
        <v>1363378.347060269</v>
      </c>
      <c r="L16" s="381">
        <f t="shared" si="4"/>
        <v>3217753.3628250435</v>
      </c>
      <c r="M16" s="160"/>
    </row>
    <row r="17" spans="2:13" ht="12.75">
      <c r="B17" s="159"/>
      <c r="C17" s="56"/>
      <c r="D17" s="425" t="s">
        <v>663</v>
      </c>
      <c r="E17" s="381">
        <f t="shared" si="5"/>
        <v>14019531.91151641</v>
      </c>
      <c r="F17" s="381">
        <f t="shared" si="0"/>
        <v>2336590.8987204</v>
      </c>
      <c r="G17" s="381">
        <f t="shared" si="6"/>
        <v>3217753.3628250435</v>
      </c>
      <c r="H17" s="381">
        <f t="shared" si="1"/>
        <v>10801778.548691366</v>
      </c>
      <c r="I17" s="426">
        <v>0.08</v>
      </c>
      <c r="J17" s="430">
        <f t="shared" si="2"/>
        <v>864142.2838953093</v>
      </c>
      <c r="K17" s="381">
        <f t="shared" si="3"/>
        <v>1472448.6148250906</v>
      </c>
      <c r="L17" s="381">
        <f t="shared" si="4"/>
        <v>2353611.0789297344</v>
      </c>
      <c r="M17" s="160"/>
    </row>
    <row r="18" spans="2:13" ht="12.75">
      <c r="B18" s="159"/>
      <c r="C18" s="56"/>
      <c r="D18" s="425" t="s">
        <v>664</v>
      </c>
      <c r="E18" s="381">
        <f t="shared" si="5"/>
        <v>11682941.012796009</v>
      </c>
      <c r="F18" s="381">
        <f t="shared" si="0"/>
        <v>2336590.8987204</v>
      </c>
      <c r="G18" s="381">
        <f t="shared" si="6"/>
        <v>2353611.0789297344</v>
      </c>
      <c r="H18" s="381">
        <f t="shared" si="1"/>
        <v>9329329.933866274</v>
      </c>
      <c r="I18" s="426">
        <v>0.08</v>
      </c>
      <c r="J18" s="430">
        <f t="shared" si="2"/>
        <v>746346.3947093019</v>
      </c>
      <c r="K18" s="381">
        <f t="shared" si="3"/>
        <v>1590244.504011098</v>
      </c>
      <c r="L18" s="381">
        <f t="shared" si="4"/>
        <v>1607264.6842204325</v>
      </c>
      <c r="M18" s="160"/>
    </row>
    <row r="19" spans="2:13" ht="12.75">
      <c r="B19" s="159"/>
      <c r="C19" s="56"/>
      <c r="D19" s="425" t="s">
        <v>665</v>
      </c>
      <c r="E19" s="381">
        <f t="shared" si="5"/>
        <v>9346350.114075609</v>
      </c>
      <c r="F19" s="381">
        <f t="shared" si="0"/>
        <v>2336590.8987204</v>
      </c>
      <c r="G19" s="381">
        <f t="shared" si="6"/>
        <v>1607264.6842204325</v>
      </c>
      <c r="H19" s="381">
        <f t="shared" si="1"/>
        <v>7739085.429855176</v>
      </c>
      <c r="I19" s="426">
        <v>0.08</v>
      </c>
      <c r="J19" s="430">
        <f t="shared" si="2"/>
        <v>619126.8343884142</v>
      </c>
      <c r="K19" s="381">
        <f t="shared" si="3"/>
        <v>1717464.0643319858</v>
      </c>
      <c r="L19" s="381">
        <f t="shared" si="4"/>
        <v>988137.8498320184</v>
      </c>
      <c r="M19" s="160"/>
    </row>
    <row r="20" spans="2:13" ht="12.75">
      <c r="B20" s="159"/>
      <c r="C20" s="56"/>
      <c r="D20" s="425" t="s">
        <v>666</v>
      </c>
      <c r="E20" s="381">
        <f t="shared" si="5"/>
        <v>7009759.215355208</v>
      </c>
      <c r="F20" s="381">
        <f t="shared" si="0"/>
        <v>2336590.8987204</v>
      </c>
      <c r="G20" s="381">
        <f t="shared" si="6"/>
        <v>988137.8498320184</v>
      </c>
      <c r="H20" s="381">
        <f t="shared" si="1"/>
        <v>6021621.365523189</v>
      </c>
      <c r="I20" s="426">
        <v>0.08</v>
      </c>
      <c r="J20" s="430">
        <f t="shared" si="2"/>
        <v>481729.70924185513</v>
      </c>
      <c r="K20" s="381">
        <f t="shared" si="3"/>
        <v>1854861.1894785448</v>
      </c>
      <c r="L20" s="381">
        <f t="shared" si="4"/>
        <v>506408.14059016324</v>
      </c>
      <c r="M20" s="160"/>
    </row>
    <row r="21" spans="2:13" ht="12.75">
      <c r="B21" s="159"/>
      <c r="C21" s="56"/>
      <c r="D21" s="425" t="s">
        <v>667</v>
      </c>
      <c r="E21" s="381">
        <f t="shared" si="5"/>
        <v>4673168.316634808</v>
      </c>
      <c r="F21" s="381">
        <f t="shared" si="0"/>
        <v>2336590.8987204</v>
      </c>
      <c r="G21" s="381">
        <f t="shared" si="6"/>
        <v>506408.14059016324</v>
      </c>
      <c r="H21" s="381">
        <f t="shared" si="1"/>
        <v>4166760.1760446443</v>
      </c>
      <c r="I21" s="426">
        <v>0.08</v>
      </c>
      <c r="J21" s="430">
        <f t="shared" si="2"/>
        <v>333340.81408357155</v>
      </c>
      <c r="K21" s="381">
        <f t="shared" si="3"/>
        <v>2003250.0846368284</v>
      </c>
      <c r="L21" s="381">
        <f t="shared" si="4"/>
        <v>173067.3265065917</v>
      </c>
      <c r="M21" s="160"/>
    </row>
    <row r="22" spans="2:13" ht="12.75">
      <c r="B22" s="159"/>
      <c r="C22" s="56"/>
      <c r="D22" s="427" t="s">
        <v>668</v>
      </c>
      <c r="E22" s="428">
        <f t="shared" si="5"/>
        <v>2336577.417914408</v>
      </c>
      <c r="F22" s="428">
        <f t="shared" si="0"/>
        <v>2336590.8987204</v>
      </c>
      <c r="G22" s="428">
        <f t="shared" si="6"/>
        <v>173067.3265065917</v>
      </c>
      <c r="H22" s="428">
        <f t="shared" si="1"/>
        <v>2163510.091407816</v>
      </c>
      <c r="I22" s="429">
        <v>0.08</v>
      </c>
      <c r="J22" s="430">
        <f t="shared" si="2"/>
        <v>173080.8073126253</v>
      </c>
      <c r="K22" s="428">
        <f t="shared" si="3"/>
        <v>2163510.0914077745</v>
      </c>
      <c r="L22" s="428">
        <f t="shared" si="4"/>
        <v>-13.480806033592671</v>
      </c>
      <c r="M22" s="160"/>
    </row>
    <row r="23" spans="2:13" ht="12.75">
      <c r="B23" s="159"/>
      <c r="C23" s="56"/>
      <c r="D23" s="35" t="s">
        <v>59</v>
      </c>
      <c r="E23" s="35"/>
      <c r="F23" s="382">
        <f>SUM(F8:F22)</f>
        <v>35048863.48080599</v>
      </c>
      <c r="G23" s="35"/>
      <c r="H23" s="35"/>
      <c r="I23" s="35"/>
      <c r="J23" s="382">
        <f>SUM(J8:J22)</f>
        <v>15048863.480806036</v>
      </c>
      <c r="K23" s="382">
        <f>SUM(K8:K22)</f>
        <v>19999999.999999966</v>
      </c>
      <c r="L23" s="35"/>
      <c r="M23" s="160"/>
    </row>
    <row r="24" spans="2:13" ht="13.5" thickBot="1">
      <c r="B24" s="177"/>
      <c r="C24" s="178"/>
      <c r="D24" s="178"/>
      <c r="E24" s="178"/>
      <c r="F24" s="432"/>
      <c r="G24" s="178"/>
      <c r="H24" s="178"/>
      <c r="I24" s="178"/>
      <c r="J24" s="432"/>
      <c r="K24" s="432"/>
      <c r="L24" s="178"/>
      <c r="M24" s="179"/>
    </row>
    <row r="25" ht="13.5" thickBot="1"/>
    <row r="26" spans="2:24" ht="12.75">
      <c r="B26" s="174"/>
      <c r="C26" s="953" t="s">
        <v>644</v>
      </c>
      <c r="D26" s="954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8"/>
    </row>
    <row r="27" spans="2:24" ht="12.75">
      <c r="B27" s="159"/>
      <c r="C27" s="660"/>
      <c r="D27" s="66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160"/>
    </row>
    <row r="28" spans="2:24" ht="13.5" thickBot="1">
      <c r="B28" s="159"/>
      <c r="C28" s="56"/>
      <c r="D28" s="56"/>
      <c r="E28" s="56"/>
      <c r="F28" s="56"/>
      <c r="G28" s="430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160"/>
    </row>
    <row r="29" spans="2:24" ht="12.75" customHeight="1">
      <c r="B29" s="159"/>
      <c r="C29" s="940" t="s">
        <v>114</v>
      </c>
      <c r="D29" s="941"/>
      <c r="E29" s="941"/>
      <c r="F29" s="941"/>
      <c r="G29" s="941" t="s">
        <v>714</v>
      </c>
      <c r="H29" s="941" t="s">
        <v>713</v>
      </c>
      <c r="I29" s="948" t="s">
        <v>712</v>
      </c>
      <c r="J29" s="56"/>
      <c r="K29" s="917" t="s">
        <v>711</v>
      </c>
      <c r="L29" s="918"/>
      <c r="M29" s="918"/>
      <c r="N29" s="918"/>
      <c r="O29" s="918"/>
      <c r="P29" s="919"/>
      <c r="Q29" s="56"/>
      <c r="R29" s="917" t="s">
        <v>730</v>
      </c>
      <c r="S29" s="918"/>
      <c r="T29" s="918"/>
      <c r="U29" s="918"/>
      <c r="V29" s="918"/>
      <c r="W29" s="919"/>
      <c r="X29" s="160"/>
    </row>
    <row r="30" spans="2:24" ht="12.75">
      <c r="B30" s="159"/>
      <c r="C30" s="942"/>
      <c r="D30" s="943"/>
      <c r="E30" s="943"/>
      <c r="F30" s="943"/>
      <c r="G30" s="943"/>
      <c r="H30" s="943"/>
      <c r="I30" s="949"/>
      <c r="J30" s="56"/>
      <c r="K30" s="920"/>
      <c r="L30" s="921"/>
      <c r="M30" s="921"/>
      <c r="N30" s="921"/>
      <c r="O30" s="921"/>
      <c r="P30" s="922"/>
      <c r="Q30" s="56"/>
      <c r="R30" s="920"/>
      <c r="S30" s="921"/>
      <c r="T30" s="921"/>
      <c r="U30" s="921"/>
      <c r="V30" s="921"/>
      <c r="W30" s="922"/>
      <c r="X30" s="160"/>
    </row>
    <row r="31" spans="2:24" ht="13.5" thickBot="1">
      <c r="B31" s="159"/>
      <c r="C31" s="942"/>
      <c r="D31" s="943"/>
      <c r="E31" s="943"/>
      <c r="F31" s="943"/>
      <c r="G31" s="943"/>
      <c r="H31" s="943"/>
      <c r="I31" s="949"/>
      <c r="J31" s="56"/>
      <c r="K31" s="950"/>
      <c r="L31" s="951"/>
      <c r="M31" s="951"/>
      <c r="N31" s="951"/>
      <c r="O31" s="951"/>
      <c r="P31" s="952"/>
      <c r="Q31" s="56"/>
      <c r="R31" s="920"/>
      <c r="S31" s="921"/>
      <c r="T31" s="921"/>
      <c r="U31" s="921"/>
      <c r="V31" s="921"/>
      <c r="W31" s="922"/>
      <c r="X31" s="160"/>
    </row>
    <row r="32" spans="2:24" ht="12.75">
      <c r="B32" s="159"/>
      <c r="C32" s="942"/>
      <c r="D32" s="943"/>
      <c r="E32" s="943"/>
      <c r="F32" s="943"/>
      <c r="G32" s="943"/>
      <c r="H32" s="943"/>
      <c r="I32" s="949"/>
      <c r="J32" s="56"/>
      <c r="K32" s="946" t="s">
        <v>695</v>
      </c>
      <c r="L32" s="947"/>
      <c r="M32" s="947"/>
      <c r="N32" s="947"/>
      <c r="O32" s="452"/>
      <c r="P32" s="453">
        <v>440000</v>
      </c>
      <c r="Q32" s="56"/>
      <c r="R32" s="927"/>
      <c r="S32" s="923"/>
      <c r="T32" s="923"/>
      <c r="U32" s="923" t="s">
        <v>732</v>
      </c>
      <c r="V32" s="923" t="s">
        <v>713</v>
      </c>
      <c r="W32" s="925" t="s">
        <v>733</v>
      </c>
      <c r="X32" s="160"/>
    </row>
    <row r="33" spans="2:24" ht="12.75">
      <c r="B33" s="159"/>
      <c r="C33" s="936" t="s">
        <v>715</v>
      </c>
      <c r="D33" s="937"/>
      <c r="E33" s="937"/>
      <c r="F33" s="937"/>
      <c r="G33" s="456">
        <f>E50</f>
        <v>-80000</v>
      </c>
      <c r="H33" s="456">
        <v>1.21</v>
      </c>
      <c r="I33" s="457">
        <f>G33*H33</f>
        <v>-96800</v>
      </c>
      <c r="J33" s="56"/>
      <c r="K33" s="938" t="s">
        <v>696</v>
      </c>
      <c r="L33" s="939"/>
      <c r="M33" s="939"/>
      <c r="N33" s="939"/>
      <c r="O33" s="452"/>
      <c r="P33" s="453"/>
      <c r="Q33" s="56"/>
      <c r="R33" s="928"/>
      <c r="S33" s="924"/>
      <c r="T33" s="924"/>
      <c r="U33" s="924"/>
      <c r="V33" s="924"/>
      <c r="W33" s="926"/>
      <c r="X33" s="160"/>
    </row>
    <row r="34" spans="2:24" ht="12.75">
      <c r="B34" s="159"/>
      <c r="C34" s="936" t="s">
        <v>716</v>
      </c>
      <c r="D34" s="937"/>
      <c r="E34" s="937"/>
      <c r="F34" s="937"/>
      <c r="G34" s="456"/>
      <c r="H34" s="456"/>
      <c r="I34" s="457"/>
      <c r="J34" s="56"/>
      <c r="K34" s="938" t="s">
        <v>697</v>
      </c>
      <c r="L34" s="939"/>
      <c r="M34" s="939"/>
      <c r="N34" s="939"/>
      <c r="O34" s="452">
        <v>121000</v>
      </c>
      <c r="P34" s="453"/>
      <c r="Q34" s="56"/>
      <c r="R34" s="914" t="str">
        <f>G48</f>
        <v>وجوه نقد</v>
      </c>
      <c r="S34" s="655"/>
      <c r="T34" s="655"/>
      <c r="U34" s="30">
        <f>I48</f>
        <v>40000</v>
      </c>
      <c r="V34" s="30" t="s">
        <v>734</v>
      </c>
      <c r="W34" s="31">
        <f>U34</f>
        <v>40000</v>
      </c>
      <c r="X34" s="160"/>
    </row>
    <row r="35" spans="2:24" ht="13.5" thickBot="1">
      <c r="B35" s="159"/>
      <c r="C35" s="936" t="s">
        <v>717</v>
      </c>
      <c r="D35" s="937"/>
      <c r="E35" s="937"/>
      <c r="F35" s="937"/>
      <c r="G35" s="456">
        <v>400000</v>
      </c>
      <c r="H35" s="456">
        <v>1.1</v>
      </c>
      <c r="I35" s="457">
        <f>G35*H35</f>
        <v>440000.00000000006</v>
      </c>
      <c r="J35" s="56"/>
      <c r="K35" s="938" t="s">
        <v>698</v>
      </c>
      <c r="L35" s="939"/>
      <c r="M35" s="939"/>
      <c r="N35" s="939"/>
      <c r="O35" s="451">
        <v>231000</v>
      </c>
      <c r="P35" s="453"/>
      <c r="Q35" s="56"/>
      <c r="R35" s="914" t="str">
        <f>G49</f>
        <v>حسابهای دریافتنی</v>
      </c>
      <c r="S35" s="655"/>
      <c r="T35" s="655"/>
      <c r="U35" s="30">
        <f>I49</f>
        <v>67000</v>
      </c>
      <c r="V35" s="30" t="s">
        <v>734</v>
      </c>
      <c r="W35" s="31">
        <f>U35</f>
        <v>67000</v>
      </c>
      <c r="X35" s="160"/>
    </row>
    <row r="36" spans="2:24" ht="12.75">
      <c r="B36" s="159"/>
      <c r="C36" s="936" t="s">
        <v>718</v>
      </c>
      <c r="D36" s="937"/>
      <c r="E36" s="937"/>
      <c r="F36" s="937"/>
      <c r="G36" s="456"/>
      <c r="H36" s="456"/>
      <c r="I36" s="457"/>
      <c r="J36" s="56"/>
      <c r="K36" s="938" t="s">
        <v>699</v>
      </c>
      <c r="L36" s="939"/>
      <c r="M36" s="939"/>
      <c r="N36" s="939"/>
      <c r="O36" s="452">
        <f>SUM(O34:O35)</f>
        <v>352000</v>
      </c>
      <c r="P36" s="453"/>
      <c r="Q36" s="56"/>
      <c r="R36" s="914" t="s">
        <v>226</v>
      </c>
      <c r="S36" s="655"/>
      <c r="T36" s="655"/>
      <c r="U36" s="30">
        <v>90000</v>
      </c>
      <c r="V36" s="30">
        <v>1.1</v>
      </c>
      <c r="W36" s="31">
        <f>U36*V36</f>
        <v>99000.00000000001</v>
      </c>
      <c r="X36" s="160"/>
    </row>
    <row r="37" spans="2:24" ht="13.5" thickBot="1">
      <c r="B37" s="159"/>
      <c r="C37" s="936" t="s">
        <v>611</v>
      </c>
      <c r="D37" s="937"/>
      <c r="E37" s="937"/>
      <c r="F37" s="937"/>
      <c r="G37" s="456">
        <v>-210000</v>
      </c>
      <c r="H37" s="456">
        <v>1.1</v>
      </c>
      <c r="I37" s="457">
        <f>G37*H37</f>
        <v>-231000.00000000003</v>
      </c>
      <c r="J37" s="56"/>
      <c r="K37" s="938" t="s">
        <v>700</v>
      </c>
      <c r="L37" s="939"/>
      <c r="M37" s="939"/>
      <c r="N37" s="939"/>
      <c r="O37" s="451">
        <v>-99000</v>
      </c>
      <c r="P37" s="454">
        <f>SUM(O36:O37)</f>
        <v>253000</v>
      </c>
      <c r="Q37" s="56"/>
      <c r="R37" s="914" t="s">
        <v>135</v>
      </c>
      <c r="S37" s="655"/>
      <c r="T37" s="655"/>
      <c r="U37" s="30">
        <v>70000</v>
      </c>
      <c r="V37" s="30">
        <v>1.21</v>
      </c>
      <c r="W37" s="31">
        <f>U37*V37</f>
        <v>84700</v>
      </c>
      <c r="X37" s="160"/>
    </row>
    <row r="38" spans="2:24" ht="12.75">
      <c r="B38" s="159"/>
      <c r="C38" s="936" t="s">
        <v>130</v>
      </c>
      <c r="D38" s="937"/>
      <c r="E38" s="937"/>
      <c r="F38" s="937"/>
      <c r="G38" s="456">
        <v>-68000</v>
      </c>
      <c r="H38" s="456">
        <v>1.1</v>
      </c>
      <c r="I38" s="457">
        <f>G38*H38</f>
        <v>-74800</v>
      </c>
      <c r="J38" s="56"/>
      <c r="K38" s="938" t="s">
        <v>701</v>
      </c>
      <c r="L38" s="939"/>
      <c r="M38" s="939"/>
      <c r="N38" s="939"/>
      <c r="O38" s="452"/>
      <c r="P38" s="453">
        <f>P32-P37</f>
        <v>187000</v>
      </c>
      <c r="Q38" s="56"/>
      <c r="R38" s="914" t="s">
        <v>206</v>
      </c>
      <c r="S38" s="655"/>
      <c r="T38" s="655"/>
      <c r="U38" s="30">
        <v>120000</v>
      </c>
      <c r="V38" s="30">
        <v>1.21</v>
      </c>
      <c r="W38" s="31">
        <f>U38*V38</f>
        <v>145200</v>
      </c>
      <c r="X38" s="160"/>
    </row>
    <row r="39" spans="2:24" ht="13.5" thickBot="1">
      <c r="B39" s="159"/>
      <c r="C39" s="936" t="s">
        <v>719</v>
      </c>
      <c r="D39" s="937"/>
      <c r="E39" s="937"/>
      <c r="F39" s="937"/>
      <c r="G39" s="456">
        <v>-40000</v>
      </c>
      <c r="H39" s="456">
        <v>1.1</v>
      </c>
      <c r="I39" s="457">
        <f>G39*H39</f>
        <v>-44000</v>
      </c>
      <c r="J39" s="56"/>
      <c r="K39" s="938" t="s">
        <v>702</v>
      </c>
      <c r="L39" s="939"/>
      <c r="M39" s="939"/>
      <c r="N39" s="939"/>
      <c r="O39" s="452">
        <v>74800</v>
      </c>
      <c r="P39" s="453"/>
      <c r="Q39" s="56"/>
      <c r="R39" s="914" t="s">
        <v>68</v>
      </c>
      <c r="S39" s="655"/>
      <c r="T39" s="655"/>
      <c r="U39" s="30">
        <v>-12000</v>
      </c>
      <c r="V39" s="30">
        <v>1.21</v>
      </c>
      <c r="W39" s="31">
        <f>U39*V39</f>
        <v>-14520</v>
      </c>
      <c r="X39" s="160"/>
    </row>
    <row r="40" spans="2:24" ht="13.5" thickBot="1">
      <c r="B40" s="159"/>
      <c r="C40" s="936" t="s">
        <v>720</v>
      </c>
      <c r="D40" s="937"/>
      <c r="E40" s="937"/>
      <c r="F40" s="937"/>
      <c r="G40" s="456">
        <v>-20000</v>
      </c>
      <c r="H40" s="456">
        <v>1</v>
      </c>
      <c r="I40" s="457">
        <f>G40*H40</f>
        <v>-20000</v>
      </c>
      <c r="J40" s="56"/>
      <c r="K40" s="938" t="s">
        <v>703</v>
      </c>
      <c r="L40" s="939"/>
      <c r="M40" s="939"/>
      <c r="N40" s="939"/>
      <c r="O40" s="451">
        <v>14520</v>
      </c>
      <c r="P40" s="454">
        <f>SUM(O39:O40)</f>
        <v>89320</v>
      </c>
      <c r="Q40" s="56"/>
      <c r="R40" s="914" t="s">
        <v>451</v>
      </c>
      <c r="S40" s="655"/>
      <c r="T40" s="655"/>
      <c r="U40" s="460">
        <f>SUM(U34:U39)</f>
        <v>375000</v>
      </c>
      <c r="V40" s="30"/>
      <c r="W40" s="461">
        <f>SUM(W34:W39)</f>
        <v>421380</v>
      </c>
      <c r="X40" s="160"/>
    </row>
    <row r="41" spans="2:24" ht="12.75">
      <c r="B41" s="159"/>
      <c r="C41" s="936" t="s">
        <v>721</v>
      </c>
      <c r="D41" s="937"/>
      <c r="E41" s="937"/>
      <c r="F41" s="937"/>
      <c r="G41" s="456"/>
      <c r="H41" s="456"/>
      <c r="I41" s="457"/>
      <c r="J41" s="56"/>
      <c r="K41" s="938" t="s">
        <v>704</v>
      </c>
      <c r="L41" s="939"/>
      <c r="M41" s="939"/>
      <c r="N41" s="939"/>
      <c r="O41" s="452"/>
      <c r="P41" s="453">
        <f>P38-P40</f>
        <v>97680</v>
      </c>
      <c r="Q41" s="56"/>
      <c r="R41" s="914" t="str">
        <f>G50</f>
        <v>حسابهای پرداختنی</v>
      </c>
      <c r="S41" s="655"/>
      <c r="T41" s="655"/>
      <c r="U41" s="30">
        <v>35000</v>
      </c>
      <c r="V41" s="30" t="s">
        <v>734</v>
      </c>
      <c r="W41" s="31">
        <f>U41</f>
        <v>35000</v>
      </c>
      <c r="X41" s="160"/>
    </row>
    <row r="42" spans="2:24" ht="13.5" thickBot="1">
      <c r="B42" s="159"/>
      <c r="C42" s="936" t="s">
        <v>722</v>
      </c>
      <c r="D42" s="937"/>
      <c r="E42" s="937"/>
      <c r="F42" s="937"/>
      <c r="G42" s="456">
        <f>I52</f>
        <v>-18000</v>
      </c>
      <c r="H42" s="456"/>
      <c r="I42" s="457"/>
      <c r="J42" s="56"/>
      <c r="K42" s="938" t="s">
        <v>705</v>
      </c>
      <c r="L42" s="939"/>
      <c r="M42" s="939"/>
      <c r="N42" s="939"/>
      <c r="O42" s="452"/>
      <c r="P42" s="454">
        <v>44000</v>
      </c>
      <c r="Q42" s="56"/>
      <c r="R42" s="914" t="str">
        <f>G51</f>
        <v>اسناد  پرداختنی بلند مد ت</v>
      </c>
      <c r="S42" s="655"/>
      <c r="T42" s="655"/>
      <c r="U42" s="30">
        <v>90000</v>
      </c>
      <c r="V42" s="30" t="s">
        <v>734</v>
      </c>
      <c r="W42" s="31">
        <f>U42</f>
        <v>90000</v>
      </c>
      <c r="X42" s="160"/>
    </row>
    <row r="43" spans="2:24" ht="12.75">
      <c r="B43" s="159"/>
      <c r="C43" s="936" t="s">
        <v>723</v>
      </c>
      <c r="D43" s="937"/>
      <c r="E43" s="937"/>
      <c r="F43" s="937"/>
      <c r="G43" s="456"/>
      <c r="H43" s="456"/>
      <c r="I43" s="457">
        <f>SUM(I33:I42)</f>
        <v>-26599.99999999997</v>
      </c>
      <c r="J43" s="56"/>
      <c r="K43" s="938" t="s">
        <v>706</v>
      </c>
      <c r="L43" s="939"/>
      <c r="M43" s="939"/>
      <c r="N43" s="939"/>
      <c r="O43" s="452"/>
      <c r="P43" s="453">
        <f>P41-P42</f>
        <v>53680</v>
      </c>
      <c r="Q43" s="56"/>
      <c r="R43" s="914" t="s">
        <v>172</v>
      </c>
      <c r="S43" s="655"/>
      <c r="T43" s="655"/>
      <c r="U43" s="30">
        <v>210000</v>
      </c>
      <c r="V43" s="30">
        <v>1.21</v>
      </c>
      <c r="W43" s="31">
        <f>U43*V43</f>
        <v>254100</v>
      </c>
      <c r="X43" s="160"/>
    </row>
    <row r="44" spans="2:24" ht="13.5" thickBot="1">
      <c r="B44" s="159"/>
      <c r="C44" s="934" t="s">
        <v>724</v>
      </c>
      <c r="D44" s="935"/>
      <c r="E44" s="935"/>
      <c r="F44" s="935"/>
      <c r="G44" s="935"/>
      <c r="H44" s="458"/>
      <c r="I44" s="459">
        <f>I43-G42</f>
        <v>-8599.99999999997</v>
      </c>
      <c r="J44" s="56"/>
      <c r="K44" s="938" t="s">
        <v>710</v>
      </c>
      <c r="L44" s="939"/>
      <c r="M44" s="939"/>
      <c r="N44" s="939"/>
      <c r="O44" s="452"/>
      <c r="P44" s="454">
        <v>8600</v>
      </c>
      <c r="Q44" s="56"/>
      <c r="R44" s="914" t="s">
        <v>143</v>
      </c>
      <c r="S44" s="655"/>
      <c r="T44" s="655"/>
      <c r="U44" s="30">
        <v>40000</v>
      </c>
      <c r="V44" s="30"/>
      <c r="W44" s="31">
        <f>P48</f>
        <v>42280</v>
      </c>
      <c r="X44" s="160"/>
    </row>
    <row r="45" spans="2:24" ht="13.5" thickBot="1">
      <c r="B45" s="159"/>
      <c r="C45" s="574"/>
      <c r="D45" s="574"/>
      <c r="E45" s="574"/>
      <c r="F45" s="574"/>
      <c r="G45" s="56"/>
      <c r="H45" s="56"/>
      <c r="I45" s="56"/>
      <c r="J45" s="56"/>
      <c r="K45" s="938" t="s">
        <v>707</v>
      </c>
      <c r="L45" s="939"/>
      <c r="M45" s="939"/>
      <c r="N45" s="939"/>
      <c r="O45" s="452"/>
      <c r="P45" s="453">
        <f>P43+P44</f>
        <v>62280</v>
      </c>
      <c r="Q45" s="56"/>
      <c r="R45" s="915" t="s">
        <v>731</v>
      </c>
      <c r="S45" s="916"/>
      <c r="T45" s="916"/>
      <c r="U45" s="460">
        <f>SUM(U41:U44)</f>
        <v>375000</v>
      </c>
      <c r="V45" s="33"/>
      <c r="W45" s="461">
        <f>SUM(W41:W44)</f>
        <v>421380</v>
      </c>
      <c r="X45" s="160"/>
    </row>
    <row r="46" spans="2:24" ht="12.75">
      <c r="B46" s="159"/>
      <c r="C46" s="635" t="s">
        <v>725</v>
      </c>
      <c r="D46" s="636"/>
      <c r="E46" s="637"/>
      <c r="F46" s="56"/>
      <c r="G46" s="635" t="s">
        <v>728</v>
      </c>
      <c r="H46" s="636"/>
      <c r="I46" s="637"/>
      <c r="J46" s="56"/>
      <c r="K46" s="938" t="s">
        <v>708</v>
      </c>
      <c r="L46" s="939"/>
      <c r="M46" s="939"/>
      <c r="N46" s="939"/>
      <c r="O46" s="452"/>
      <c r="P46" s="453">
        <v>0</v>
      </c>
      <c r="Q46" s="56"/>
      <c r="R46" s="56"/>
      <c r="S46" s="56"/>
      <c r="T46" s="56"/>
      <c r="U46" s="56"/>
      <c r="V46" s="56"/>
      <c r="W46" s="56"/>
      <c r="X46" s="160"/>
    </row>
    <row r="47" spans="2:24" ht="13.5" thickBot="1">
      <c r="B47" s="159"/>
      <c r="C47" s="624" t="s">
        <v>726</v>
      </c>
      <c r="D47" s="625"/>
      <c r="E47" s="35"/>
      <c r="F47" s="56"/>
      <c r="G47" s="624" t="s">
        <v>729</v>
      </c>
      <c r="H47" s="625"/>
      <c r="I47" s="35"/>
      <c r="J47" s="56"/>
      <c r="K47" s="938" t="s">
        <v>86</v>
      </c>
      <c r="L47" s="939"/>
      <c r="M47" s="939"/>
      <c r="N47" s="939"/>
      <c r="O47" s="452"/>
      <c r="P47" s="454">
        <v>20000</v>
      </c>
      <c r="Q47" s="56"/>
      <c r="R47" s="56"/>
      <c r="S47" s="56"/>
      <c r="T47" s="56"/>
      <c r="U47" s="56"/>
      <c r="V47" s="56"/>
      <c r="W47" s="56"/>
      <c r="X47" s="160"/>
    </row>
    <row r="48" spans="2:24" ht="13.5" thickBot="1">
      <c r="B48" s="159"/>
      <c r="C48" s="929" t="s">
        <v>224</v>
      </c>
      <c r="D48" s="930"/>
      <c r="E48" s="225">
        <v>10000</v>
      </c>
      <c r="F48" s="56"/>
      <c r="G48" s="929" t="s">
        <v>224</v>
      </c>
      <c r="H48" s="930"/>
      <c r="I48" s="225">
        <v>40000</v>
      </c>
      <c r="J48" s="56"/>
      <c r="K48" s="944" t="s">
        <v>709</v>
      </c>
      <c r="L48" s="945"/>
      <c r="M48" s="945"/>
      <c r="N48" s="945"/>
      <c r="O48" s="451"/>
      <c r="P48" s="455">
        <f>P45+P46-P47</f>
        <v>42280</v>
      </c>
      <c r="Q48" s="56"/>
      <c r="R48" s="56"/>
      <c r="S48" s="56"/>
      <c r="T48" s="56"/>
      <c r="U48" s="56"/>
      <c r="V48" s="56"/>
      <c r="W48" s="56"/>
      <c r="X48" s="160"/>
    </row>
    <row r="49" spans="2:24" ht="12.75">
      <c r="B49" s="159"/>
      <c r="C49" s="929" t="s">
        <v>727</v>
      </c>
      <c r="D49" s="930"/>
      <c r="E49" s="225">
        <v>-90000</v>
      </c>
      <c r="F49" s="56"/>
      <c r="G49" s="929" t="s">
        <v>134</v>
      </c>
      <c r="H49" s="933"/>
      <c r="I49" s="225">
        <v>67000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60"/>
    </row>
    <row r="50" spans="2:24" ht="12.75">
      <c r="B50" s="159"/>
      <c r="C50" s="931" t="s">
        <v>726</v>
      </c>
      <c r="D50" s="932"/>
      <c r="E50" s="115">
        <f>SUM(E48:E49)</f>
        <v>-80000</v>
      </c>
      <c r="F50" s="56"/>
      <c r="G50" s="929" t="s">
        <v>138</v>
      </c>
      <c r="H50" s="933"/>
      <c r="I50" s="225">
        <v>-35000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160"/>
    </row>
    <row r="51" spans="2:24" ht="12.75">
      <c r="B51" s="159"/>
      <c r="C51" s="56"/>
      <c r="D51" s="56"/>
      <c r="E51" s="56"/>
      <c r="F51" s="56"/>
      <c r="G51" s="929" t="s">
        <v>727</v>
      </c>
      <c r="H51" s="930"/>
      <c r="I51" s="225">
        <v>-90000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160"/>
    </row>
    <row r="52" spans="2:24" ht="12.75">
      <c r="B52" s="159"/>
      <c r="C52" s="56"/>
      <c r="D52" s="56"/>
      <c r="E52" s="56"/>
      <c r="F52" s="56"/>
      <c r="G52" s="931" t="s">
        <v>726</v>
      </c>
      <c r="H52" s="932"/>
      <c r="I52" s="115">
        <f>SUM(I48:I51)</f>
        <v>-18000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160"/>
    </row>
    <row r="53" spans="2:24" ht="12.75">
      <c r="B53" s="15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160"/>
    </row>
    <row r="54" spans="2:24" ht="13.5" thickBot="1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9"/>
    </row>
  </sheetData>
  <mergeCells count="75">
    <mergeCell ref="H6:H7"/>
    <mergeCell ref="I6:I7"/>
    <mergeCell ref="K29:P31"/>
    <mergeCell ref="C3:D4"/>
    <mergeCell ref="C26:D27"/>
    <mergeCell ref="D6:D7"/>
    <mergeCell ref="E6:E7"/>
    <mergeCell ref="J6:J7"/>
    <mergeCell ref="K6:K7"/>
    <mergeCell ref="L6:L7"/>
    <mergeCell ref="F6:F7"/>
    <mergeCell ref="G6:G7"/>
    <mergeCell ref="K36:N36"/>
    <mergeCell ref="K37:N37"/>
    <mergeCell ref="K32:N32"/>
    <mergeCell ref="K33:N33"/>
    <mergeCell ref="I29:I32"/>
    <mergeCell ref="H29:H32"/>
    <mergeCell ref="G29:G32"/>
    <mergeCell ref="K34:N34"/>
    <mergeCell ref="K47:N47"/>
    <mergeCell ref="K48:N48"/>
    <mergeCell ref="K44:N44"/>
    <mergeCell ref="K42:N42"/>
    <mergeCell ref="K43:N43"/>
    <mergeCell ref="K45:N45"/>
    <mergeCell ref="K46:N46"/>
    <mergeCell ref="K38:N38"/>
    <mergeCell ref="K39:N39"/>
    <mergeCell ref="K40:N40"/>
    <mergeCell ref="K41:N41"/>
    <mergeCell ref="K35:N35"/>
    <mergeCell ref="C29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G44"/>
    <mergeCell ref="C46:E46"/>
    <mergeCell ref="C47:D47"/>
    <mergeCell ref="C45:F45"/>
    <mergeCell ref="G46:I46"/>
    <mergeCell ref="G51:H51"/>
    <mergeCell ref="G52:H52"/>
    <mergeCell ref="G49:H49"/>
    <mergeCell ref="G50:H50"/>
    <mergeCell ref="C48:D48"/>
    <mergeCell ref="C49:D49"/>
    <mergeCell ref="C50:D50"/>
    <mergeCell ref="G47:H47"/>
    <mergeCell ref="G48:H48"/>
    <mergeCell ref="R29:W31"/>
    <mergeCell ref="U32:U33"/>
    <mergeCell ref="V32:V33"/>
    <mergeCell ref="W32:W33"/>
    <mergeCell ref="R32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Ardalan</cp:lastModifiedBy>
  <cp:lastPrinted>2004-11-04T04:14:01Z</cp:lastPrinted>
  <dcterms:created xsi:type="dcterms:W3CDTF">1996-10-14T23:33:28Z</dcterms:created>
  <dcterms:modified xsi:type="dcterms:W3CDTF">2005-02-23T06:32:17Z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